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20" yWindow="45" windowWidth="19080" windowHeight="9285" activeTab="2"/>
  </bookViews>
  <sheets>
    <sheet name="CCRC M" sheetId="2" r:id="rId1"/>
    <sheet name="CCRC F" sheetId="1" r:id="rId2"/>
    <sheet name="Proj" sheetId="3" r:id="rId3"/>
  </sheets>
  <definedNames>
    <definedName name="_xlnm.Print_Area" localSheetId="2">Proj!$N$44:$T$60</definedName>
  </definedNames>
  <calcPr calcId="145621"/>
</workbook>
</file>

<file path=xl/calcChain.xml><?xml version="1.0" encoding="utf-8"?>
<calcChain xmlns="http://schemas.openxmlformats.org/spreadsheetml/2006/main">
  <c r="NE96" i="3" l="1"/>
  <c r="ND96" i="3"/>
  <c r="NE95" i="3"/>
  <c r="ND95" i="3"/>
  <c r="NE94" i="3"/>
  <c r="ND94" i="3"/>
  <c r="NE93" i="3"/>
  <c r="ND93" i="3"/>
  <c r="NE92" i="3"/>
  <c r="ND92" i="3"/>
  <c r="NE91" i="3"/>
  <c r="ND91" i="3"/>
  <c r="NE90" i="3"/>
  <c r="ND90" i="3"/>
  <c r="NE89" i="3"/>
  <c r="ND89" i="3"/>
  <c r="NE88" i="3"/>
  <c r="ND88" i="3"/>
  <c r="NE87" i="3"/>
  <c r="ND87" i="3"/>
  <c r="NE86" i="3"/>
  <c r="ND86" i="3"/>
  <c r="NE85" i="3"/>
  <c r="ND85" i="3"/>
  <c r="NE84" i="3"/>
  <c r="ND84" i="3"/>
  <c r="NE83" i="3"/>
  <c r="ND83" i="3"/>
  <c r="NE82" i="3"/>
  <c r="ND82" i="3"/>
  <c r="NE81" i="3"/>
  <c r="ND81" i="3"/>
  <c r="NE80" i="3"/>
  <c r="ND80" i="3"/>
  <c r="NE79" i="3"/>
  <c r="ND79" i="3"/>
  <c r="NE78" i="3"/>
  <c r="ND78" i="3"/>
  <c r="NE77" i="3"/>
  <c r="ND77" i="3"/>
  <c r="NE76" i="3"/>
  <c r="ND76" i="3"/>
  <c r="NE75" i="3"/>
  <c r="ND75" i="3"/>
  <c r="NE74" i="3"/>
  <c r="ND74" i="3"/>
  <c r="NE73" i="3"/>
  <c r="ND73" i="3"/>
  <c r="NE72" i="3"/>
  <c r="ND72" i="3"/>
  <c r="NE71" i="3"/>
  <c r="ND71" i="3"/>
  <c r="NE70" i="3"/>
  <c r="ND70" i="3"/>
  <c r="NE69" i="3"/>
  <c r="ND69" i="3"/>
  <c r="NE68" i="3"/>
  <c r="ND68" i="3"/>
  <c r="NE67" i="3"/>
  <c r="ND67" i="3"/>
  <c r="NE66" i="3"/>
  <c r="ND66" i="3"/>
  <c r="NE65" i="3"/>
  <c r="ND65" i="3"/>
  <c r="NE64" i="3"/>
  <c r="ND64" i="3"/>
  <c r="NE63" i="3"/>
  <c r="ND63" i="3"/>
  <c r="NE62" i="3"/>
  <c r="ND62" i="3"/>
  <c r="NE61" i="3"/>
  <c r="ND61" i="3"/>
  <c r="NE60" i="3"/>
  <c r="ND60" i="3"/>
  <c r="NE59" i="3"/>
  <c r="ND59" i="3"/>
  <c r="NE58" i="3"/>
  <c r="ND58" i="3"/>
  <c r="NE57" i="3"/>
  <c r="ND57" i="3"/>
  <c r="NE56" i="3"/>
  <c r="ND56" i="3"/>
  <c r="NE55" i="3"/>
  <c r="ND55" i="3"/>
  <c r="NE54" i="3"/>
  <c r="ND54" i="3"/>
  <c r="NE53" i="3"/>
  <c r="ND53" i="3"/>
  <c r="NE52" i="3"/>
  <c r="ND52" i="3"/>
  <c r="NE51" i="3"/>
  <c r="ND51" i="3"/>
  <c r="NE50" i="3"/>
  <c r="ND50" i="3"/>
  <c r="NE49" i="3"/>
  <c r="ND49" i="3"/>
  <c r="NE48" i="3"/>
  <c r="ND48" i="3"/>
  <c r="NE47" i="3"/>
  <c r="ND47" i="3"/>
  <c r="MU96" i="3"/>
  <c r="MT96" i="3"/>
  <c r="MN96" i="3"/>
  <c r="MM96" i="3"/>
  <c r="MN95" i="3"/>
  <c r="MM95" i="3"/>
  <c r="MG96" i="3"/>
  <c r="MF96" i="3"/>
  <c r="MG95" i="3"/>
  <c r="MF95" i="3"/>
  <c r="MG94" i="3"/>
  <c r="MF94" i="3"/>
  <c r="LZ96" i="3"/>
  <c r="LY96" i="3"/>
  <c r="LZ95" i="3"/>
  <c r="LY95" i="3"/>
  <c r="LZ94" i="3"/>
  <c r="LY94" i="3"/>
  <c r="LZ93" i="3"/>
  <c r="LY93" i="3"/>
  <c r="LS96" i="3"/>
  <c r="LR96" i="3"/>
  <c r="LS95" i="3"/>
  <c r="LR95" i="3"/>
  <c r="LS94" i="3"/>
  <c r="LR94" i="3"/>
  <c r="LS93" i="3"/>
  <c r="LR93" i="3"/>
  <c r="LS92" i="3"/>
  <c r="LR92" i="3"/>
  <c r="LL96" i="3"/>
  <c r="LK96" i="3"/>
  <c r="LL95" i="3"/>
  <c r="LK95" i="3"/>
  <c r="LL94" i="3"/>
  <c r="LK94" i="3"/>
  <c r="LL93" i="3"/>
  <c r="LK93" i="3"/>
  <c r="LL92" i="3"/>
  <c r="LK92" i="3"/>
  <c r="LL91" i="3"/>
  <c r="LK91" i="3"/>
  <c r="LE96" i="3"/>
  <c r="LD96" i="3"/>
  <c r="LE95" i="3"/>
  <c r="LD95" i="3"/>
  <c r="LE94" i="3"/>
  <c r="LD94" i="3"/>
  <c r="LE93" i="3"/>
  <c r="LD93" i="3"/>
  <c r="LE92" i="3"/>
  <c r="LD92" i="3"/>
  <c r="LE91" i="3"/>
  <c r="LD91" i="3"/>
  <c r="LE90" i="3"/>
  <c r="LD90" i="3"/>
  <c r="KX96" i="3"/>
  <c r="KW96" i="3"/>
  <c r="KX95" i="3"/>
  <c r="KW95" i="3"/>
  <c r="KX94" i="3"/>
  <c r="KW94" i="3"/>
  <c r="KX93" i="3"/>
  <c r="KW93" i="3"/>
  <c r="KX92" i="3"/>
  <c r="KW92" i="3"/>
  <c r="KX91" i="3"/>
  <c r="KW91" i="3"/>
  <c r="KX90" i="3"/>
  <c r="KW90" i="3"/>
  <c r="KX89" i="3"/>
  <c r="KW89" i="3"/>
  <c r="KQ96" i="3"/>
  <c r="KP96" i="3"/>
  <c r="KQ95" i="3"/>
  <c r="KP95" i="3"/>
  <c r="KQ94" i="3"/>
  <c r="KP94" i="3"/>
  <c r="KQ93" i="3"/>
  <c r="KP93" i="3"/>
  <c r="KQ92" i="3"/>
  <c r="KP92" i="3"/>
  <c r="KQ91" i="3"/>
  <c r="KP91" i="3"/>
  <c r="KQ90" i="3"/>
  <c r="KP90" i="3"/>
  <c r="KQ89" i="3"/>
  <c r="KP89" i="3"/>
  <c r="KQ88" i="3"/>
  <c r="KP88" i="3"/>
  <c r="KJ96" i="3"/>
  <c r="KI96" i="3"/>
  <c r="KJ95" i="3"/>
  <c r="KI95" i="3"/>
  <c r="KJ94" i="3"/>
  <c r="KI94" i="3"/>
  <c r="KJ93" i="3"/>
  <c r="KI93" i="3"/>
  <c r="KJ92" i="3"/>
  <c r="KI92" i="3"/>
  <c r="KJ91" i="3"/>
  <c r="KI91" i="3"/>
  <c r="KJ90" i="3"/>
  <c r="KI90" i="3"/>
  <c r="KJ89" i="3"/>
  <c r="KI89" i="3"/>
  <c r="KJ88" i="3"/>
  <c r="KI88" i="3"/>
  <c r="KJ87" i="3"/>
  <c r="KI87" i="3"/>
  <c r="KC96" i="3"/>
  <c r="KB96" i="3"/>
  <c r="KC95" i="3"/>
  <c r="KB95" i="3"/>
  <c r="KC94" i="3"/>
  <c r="KB94" i="3"/>
  <c r="KC93" i="3"/>
  <c r="KB93" i="3"/>
  <c r="KC92" i="3"/>
  <c r="KB92" i="3"/>
  <c r="KC91" i="3"/>
  <c r="KB91" i="3"/>
  <c r="KC90" i="3"/>
  <c r="KB90" i="3"/>
  <c r="KC89" i="3"/>
  <c r="KB89" i="3"/>
  <c r="KC88" i="3"/>
  <c r="KB88" i="3"/>
  <c r="KC87" i="3"/>
  <c r="KB87" i="3"/>
  <c r="KC86" i="3"/>
  <c r="KB86" i="3"/>
  <c r="JV96" i="3"/>
  <c r="JU96" i="3"/>
  <c r="JV95" i="3"/>
  <c r="JU95" i="3"/>
  <c r="JV94" i="3"/>
  <c r="JU94" i="3"/>
  <c r="JV93" i="3"/>
  <c r="JU93" i="3"/>
  <c r="JV92" i="3"/>
  <c r="JU92" i="3"/>
  <c r="JV91" i="3"/>
  <c r="JU91" i="3"/>
  <c r="JV90" i="3"/>
  <c r="JU90" i="3"/>
  <c r="JV89" i="3"/>
  <c r="JU89" i="3"/>
  <c r="JV88" i="3"/>
  <c r="JU88" i="3"/>
  <c r="JV87" i="3"/>
  <c r="JU87" i="3"/>
  <c r="JV86" i="3"/>
  <c r="JU86" i="3"/>
  <c r="JV85" i="3"/>
  <c r="JU85" i="3"/>
  <c r="JO96" i="3"/>
  <c r="JN96" i="3"/>
  <c r="JO95" i="3"/>
  <c r="JN95" i="3"/>
  <c r="JO94" i="3"/>
  <c r="JN94" i="3"/>
  <c r="JO93" i="3"/>
  <c r="JN93" i="3"/>
  <c r="JO92" i="3"/>
  <c r="JN92" i="3"/>
  <c r="JO91" i="3"/>
  <c r="JN91" i="3"/>
  <c r="JO90" i="3"/>
  <c r="JN90" i="3"/>
  <c r="JO89" i="3"/>
  <c r="JN89" i="3"/>
  <c r="JO88" i="3"/>
  <c r="JN88" i="3"/>
  <c r="JO87" i="3"/>
  <c r="JN87" i="3"/>
  <c r="JO86" i="3"/>
  <c r="JN86" i="3"/>
  <c r="JO85" i="3"/>
  <c r="JN85" i="3"/>
  <c r="JO84" i="3"/>
  <c r="JN84" i="3"/>
  <c r="JH96" i="3"/>
  <c r="JG96" i="3"/>
  <c r="JH95" i="3"/>
  <c r="JG95" i="3"/>
  <c r="JH94" i="3"/>
  <c r="JG94" i="3"/>
  <c r="JH93" i="3"/>
  <c r="JG93" i="3"/>
  <c r="JH92" i="3"/>
  <c r="JG92" i="3"/>
  <c r="JH91" i="3"/>
  <c r="JG91" i="3"/>
  <c r="JH90" i="3"/>
  <c r="JG90" i="3"/>
  <c r="JH89" i="3"/>
  <c r="JG89" i="3"/>
  <c r="JH88" i="3"/>
  <c r="JG88" i="3"/>
  <c r="JH87" i="3"/>
  <c r="JG87" i="3"/>
  <c r="JH86" i="3"/>
  <c r="JG86" i="3"/>
  <c r="JH85" i="3"/>
  <c r="JG85" i="3"/>
  <c r="JH84" i="3"/>
  <c r="JG84" i="3"/>
  <c r="JH83" i="3"/>
  <c r="JG83" i="3"/>
  <c r="JA96" i="3"/>
  <c r="IZ96" i="3"/>
  <c r="JA95" i="3"/>
  <c r="IZ95" i="3"/>
  <c r="JA94" i="3"/>
  <c r="IZ94" i="3"/>
  <c r="JA93" i="3"/>
  <c r="IZ93" i="3"/>
  <c r="JA92" i="3"/>
  <c r="IZ92" i="3"/>
  <c r="JA91" i="3"/>
  <c r="IZ91" i="3"/>
  <c r="JA90" i="3"/>
  <c r="IZ90" i="3"/>
  <c r="JA89" i="3"/>
  <c r="IZ89" i="3"/>
  <c r="JA88" i="3"/>
  <c r="IZ88" i="3"/>
  <c r="JA87" i="3"/>
  <c r="IZ87" i="3"/>
  <c r="JA86" i="3"/>
  <c r="IZ86" i="3"/>
  <c r="JA85" i="3"/>
  <c r="IZ85" i="3"/>
  <c r="JA84" i="3"/>
  <c r="IZ84" i="3"/>
  <c r="JA83" i="3"/>
  <c r="IZ83" i="3"/>
  <c r="JA82" i="3"/>
  <c r="IZ82" i="3"/>
  <c r="IT96" i="3"/>
  <c r="IS96" i="3"/>
  <c r="IT95" i="3"/>
  <c r="IS95" i="3"/>
  <c r="IT94" i="3"/>
  <c r="IS94" i="3"/>
  <c r="IT93" i="3"/>
  <c r="IS93" i="3"/>
  <c r="IT92" i="3"/>
  <c r="IS92" i="3"/>
  <c r="IT91" i="3"/>
  <c r="IS91" i="3"/>
  <c r="IT90" i="3"/>
  <c r="IS90" i="3"/>
  <c r="IT89" i="3"/>
  <c r="IS89" i="3"/>
  <c r="IT88" i="3"/>
  <c r="IS88" i="3"/>
  <c r="IT87" i="3"/>
  <c r="IS87" i="3"/>
  <c r="IT86" i="3"/>
  <c r="IS86" i="3"/>
  <c r="IT85" i="3"/>
  <c r="IS85" i="3"/>
  <c r="IT84" i="3"/>
  <c r="IS84" i="3"/>
  <c r="IT83" i="3"/>
  <c r="IS83" i="3"/>
  <c r="IT82" i="3"/>
  <c r="IS82" i="3"/>
  <c r="IT81" i="3"/>
  <c r="IS81" i="3"/>
  <c r="IM96" i="3"/>
  <c r="IL96" i="3"/>
  <c r="IM95" i="3"/>
  <c r="IL95" i="3"/>
  <c r="IM94" i="3"/>
  <c r="IL94" i="3"/>
  <c r="IM93" i="3"/>
  <c r="IL93" i="3"/>
  <c r="IM92" i="3"/>
  <c r="IL92" i="3"/>
  <c r="IM91" i="3"/>
  <c r="IL91" i="3"/>
  <c r="IM90" i="3"/>
  <c r="IL90" i="3"/>
  <c r="IM89" i="3"/>
  <c r="IL89" i="3"/>
  <c r="IM88" i="3"/>
  <c r="IL88" i="3"/>
  <c r="IM87" i="3"/>
  <c r="IL87" i="3"/>
  <c r="IM86" i="3"/>
  <c r="IL86" i="3"/>
  <c r="IM85" i="3"/>
  <c r="IL85" i="3"/>
  <c r="IM84" i="3"/>
  <c r="IL84" i="3"/>
  <c r="IM83" i="3"/>
  <c r="IL83" i="3"/>
  <c r="IM82" i="3"/>
  <c r="IL82" i="3"/>
  <c r="IM81" i="3"/>
  <c r="IL81" i="3"/>
  <c r="IM80" i="3"/>
  <c r="IL80" i="3"/>
  <c r="IF96" i="3"/>
  <c r="IE96" i="3"/>
  <c r="IF95" i="3"/>
  <c r="IE95" i="3"/>
  <c r="IF94" i="3"/>
  <c r="IE94" i="3"/>
  <c r="IF93" i="3"/>
  <c r="IE93" i="3"/>
  <c r="IF92" i="3"/>
  <c r="IE92" i="3"/>
  <c r="IF91" i="3"/>
  <c r="IE91" i="3"/>
  <c r="IF90" i="3"/>
  <c r="IE90" i="3"/>
  <c r="IF89" i="3"/>
  <c r="IE89" i="3"/>
  <c r="IF88" i="3"/>
  <c r="IE88" i="3"/>
  <c r="IF87" i="3"/>
  <c r="IE87" i="3"/>
  <c r="IF86" i="3"/>
  <c r="IE86" i="3"/>
  <c r="IF85" i="3"/>
  <c r="IE85" i="3"/>
  <c r="IF84" i="3"/>
  <c r="IE84" i="3"/>
  <c r="IF83" i="3"/>
  <c r="IE83" i="3"/>
  <c r="IF82" i="3"/>
  <c r="IE82" i="3"/>
  <c r="IF81" i="3"/>
  <c r="IE81" i="3"/>
  <c r="IF80" i="3"/>
  <c r="IE80" i="3"/>
  <c r="IF79" i="3"/>
  <c r="IE79" i="3"/>
  <c r="HY96" i="3"/>
  <c r="HX96" i="3"/>
  <c r="HY95" i="3"/>
  <c r="HX95" i="3"/>
  <c r="HY94" i="3"/>
  <c r="HX94" i="3"/>
  <c r="HY93" i="3"/>
  <c r="HX93" i="3"/>
  <c r="HY92" i="3"/>
  <c r="HX92" i="3"/>
  <c r="HY91" i="3"/>
  <c r="HX91" i="3"/>
  <c r="HY90" i="3"/>
  <c r="HX90" i="3"/>
  <c r="HY89" i="3"/>
  <c r="HX89" i="3"/>
  <c r="HY88" i="3"/>
  <c r="HX88" i="3"/>
  <c r="HY87" i="3"/>
  <c r="HX87" i="3"/>
  <c r="HY86" i="3"/>
  <c r="HX86" i="3"/>
  <c r="HY85" i="3"/>
  <c r="HX85" i="3"/>
  <c r="HY84" i="3"/>
  <c r="HX84" i="3"/>
  <c r="HY83" i="3"/>
  <c r="HX83" i="3"/>
  <c r="HY82" i="3"/>
  <c r="HX82" i="3"/>
  <c r="HY81" i="3"/>
  <c r="HX81" i="3"/>
  <c r="HY80" i="3"/>
  <c r="HX80" i="3"/>
  <c r="HY79" i="3"/>
  <c r="HX79" i="3"/>
  <c r="HY78" i="3"/>
  <c r="HX78" i="3"/>
  <c r="HR96" i="3"/>
  <c r="HQ96" i="3"/>
  <c r="HR95" i="3"/>
  <c r="HQ95" i="3"/>
  <c r="HR94" i="3"/>
  <c r="HQ94" i="3"/>
  <c r="HR93" i="3"/>
  <c r="HQ93" i="3"/>
  <c r="HR92" i="3"/>
  <c r="HQ92" i="3"/>
  <c r="HR91" i="3"/>
  <c r="HQ91" i="3"/>
  <c r="HR90" i="3"/>
  <c r="HQ90" i="3"/>
  <c r="HR89" i="3"/>
  <c r="HQ89" i="3"/>
  <c r="HR88" i="3"/>
  <c r="HQ88" i="3"/>
  <c r="HR87" i="3"/>
  <c r="HQ87" i="3"/>
  <c r="HR86" i="3"/>
  <c r="HQ86" i="3"/>
  <c r="HR85" i="3"/>
  <c r="HQ85" i="3"/>
  <c r="HR84" i="3"/>
  <c r="HQ84" i="3"/>
  <c r="HR83" i="3"/>
  <c r="HQ83" i="3"/>
  <c r="HR82" i="3"/>
  <c r="HQ82" i="3"/>
  <c r="HR81" i="3"/>
  <c r="HQ81" i="3"/>
  <c r="HR80" i="3"/>
  <c r="HQ80" i="3"/>
  <c r="HR79" i="3"/>
  <c r="HQ79" i="3"/>
  <c r="HR78" i="3"/>
  <c r="HQ78" i="3"/>
  <c r="HR77" i="3"/>
  <c r="HQ77" i="3"/>
  <c r="HK96" i="3"/>
  <c r="HJ96" i="3"/>
  <c r="HK95" i="3"/>
  <c r="HJ95" i="3"/>
  <c r="HK94" i="3"/>
  <c r="HJ94" i="3"/>
  <c r="HK93" i="3"/>
  <c r="HJ93" i="3"/>
  <c r="HK92" i="3"/>
  <c r="HJ92" i="3"/>
  <c r="HK91" i="3"/>
  <c r="HJ91" i="3"/>
  <c r="HK90" i="3"/>
  <c r="HJ90" i="3"/>
  <c r="HK89" i="3"/>
  <c r="HJ89" i="3"/>
  <c r="HK88" i="3"/>
  <c r="HJ88" i="3"/>
  <c r="HK87" i="3"/>
  <c r="HJ87" i="3"/>
  <c r="HK86" i="3"/>
  <c r="HJ86" i="3"/>
  <c r="HK85" i="3"/>
  <c r="HJ85" i="3"/>
  <c r="HK84" i="3"/>
  <c r="HJ84" i="3"/>
  <c r="HK83" i="3"/>
  <c r="HJ83" i="3"/>
  <c r="HK82" i="3"/>
  <c r="HJ82" i="3"/>
  <c r="HK81" i="3"/>
  <c r="HJ81" i="3"/>
  <c r="HK80" i="3"/>
  <c r="HJ80" i="3"/>
  <c r="HK79" i="3"/>
  <c r="HJ79" i="3"/>
  <c r="HK78" i="3"/>
  <c r="HJ78" i="3"/>
  <c r="HK77" i="3"/>
  <c r="HJ77" i="3"/>
  <c r="HK76" i="3"/>
  <c r="HJ76" i="3"/>
  <c r="HD96" i="3"/>
  <c r="HC96" i="3"/>
  <c r="HD95" i="3"/>
  <c r="HC95" i="3"/>
  <c r="HD94" i="3"/>
  <c r="HC94" i="3"/>
  <c r="HD93" i="3"/>
  <c r="HC93" i="3"/>
  <c r="HD92" i="3"/>
  <c r="HC92" i="3"/>
  <c r="HD91" i="3"/>
  <c r="HC91" i="3"/>
  <c r="HD90" i="3"/>
  <c r="HC90" i="3"/>
  <c r="HD89" i="3"/>
  <c r="HC89" i="3"/>
  <c r="HD88" i="3"/>
  <c r="HC88" i="3"/>
  <c r="HD87" i="3"/>
  <c r="HC87" i="3"/>
  <c r="HD86" i="3"/>
  <c r="HC86" i="3"/>
  <c r="HD85" i="3"/>
  <c r="HC85" i="3"/>
  <c r="HD84" i="3"/>
  <c r="HC84" i="3"/>
  <c r="HD83" i="3"/>
  <c r="HC83" i="3"/>
  <c r="HD82" i="3"/>
  <c r="HC82" i="3"/>
  <c r="HD81" i="3"/>
  <c r="HC81" i="3"/>
  <c r="HD80" i="3"/>
  <c r="HC80" i="3"/>
  <c r="HD79" i="3"/>
  <c r="HC79" i="3"/>
  <c r="HD78" i="3"/>
  <c r="HC78" i="3"/>
  <c r="HD77" i="3"/>
  <c r="HC77" i="3"/>
  <c r="HD76" i="3"/>
  <c r="HC76" i="3"/>
  <c r="HD75" i="3"/>
  <c r="HC75" i="3"/>
  <c r="GW96" i="3"/>
  <c r="GV96" i="3"/>
  <c r="GW95" i="3"/>
  <c r="GV95" i="3"/>
  <c r="GW94" i="3"/>
  <c r="GV94" i="3"/>
  <c r="GW93" i="3"/>
  <c r="GV93" i="3"/>
  <c r="GW92" i="3"/>
  <c r="GV92" i="3"/>
  <c r="GW91" i="3"/>
  <c r="GV91" i="3"/>
  <c r="GW90" i="3"/>
  <c r="GV90" i="3"/>
  <c r="GW89" i="3"/>
  <c r="GV89" i="3"/>
  <c r="GW88" i="3"/>
  <c r="GV88" i="3"/>
  <c r="GW87" i="3"/>
  <c r="GV87" i="3"/>
  <c r="GW86" i="3"/>
  <c r="GV86" i="3"/>
  <c r="GW85" i="3"/>
  <c r="GV85" i="3"/>
  <c r="GW84" i="3"/>
  <c r="GV84" i="3"/>
  <c r="GW83" i="3"/>
  <c r="GV83" i="3"/>
  <c r="GW82" i="3"/>
  <c r="GV82" i="3"/>
  <c r="GW81" i="3"/>
  <c r="GV81" i="3"/>
  <c r="GW80" i="3"/>
  <c r="GV80" i="3"/>
  <c r="GW79" i="3"/>
  <c r="GV79" i="3"/>
  <c r="GW78" i="3"/>
  <c r="GV78" i="3"/>
  <c r="GW77" i="3"/>
  <c r="GV77" i="3"/>
  <c r="GW76" i="3"/>
  <c r="GV76" i="3"/>
  <c r="GW75" i="3"/>
  <c r="GV75" i="3"/>
  <c r="GW74" i="3"/>
  <c r="GV74" i="3"/>
  <c r="GP96" i="3"/>
  <c r="GO96" i="3"/>
  <c r="GP95" i="3"/>
  <c r="GO95" i="3"/>
  <c r="GP94" i="3"/>
  <c r="GO94" i="3"/>
  <c r="GP93" i="3"/>
  <c r="GO93" i="3"/>
  <c r="GP92" i="3"/>
  <c r="GO92" i="3"/>
  <c r="GP91" i="3"/>
  <c r="GO91" i="3"/>
  <c r="GP90" i="3"/>
  <c r="GO90" i="3"/>
  <c r="GP89" i="3"/>
  <c r="GO89" i="3"/>
  <c r="GP88" i="3"/>
  <c r="GO88" i="3"/>
  <c r="GP87" i="3"/>
  <c r="GO87" i="3"/>
  <c r="GP86" i="3"/>
  <c r="GO86" i="3"/>
  <c r="GP85" i="3"/>
  <c r="GO85" i="3"/>
  <c r="GP84" i="3"/>
  <c r="GO84" i="3"/>
  <c r="GP83" i="3"/>
  <c r="GO83" i="3"/>
  <c r="GP82" i="3"/>
  <c r="GO82" i="3"/>
  <c r="GP81" i="3"/>
  <c r="GO81" i="3"/>
  <c r="GP80" i="3"/>
  <c r="GO80" i="3"/>
  <c r="GP79" i="3"/>
  <c r="GO79" i="3"/>
  <c r="GP78" i="3"/>
  <c r="GO78" i="3"/>
  <c r="GP77" i="3"/>
  <c r="GO77" i="3"/>
  <c r="GP76" i="3"/>
  <c r="GO76" i="3"/>
  <c r="GP75" i="3"/>
  <c r="GO75" i="3"/>
  <c r="GP74" i="3"/>
  <c r="GO74" i="3"/>
  <c r="GP73" i="3"/>
  <c r="GO73" i="3"/>
  <c r="GI96" i="3"/>
  <c r="GH96" i="3"/>
  <c r="GI95" i="3"/>
  <c r="GH95" i="3"/>
  <c r="GI94" i="3"/>
  <c r="GH94" i="3"/>
  <c r="GI93" i="3"/>
  <c r="GH93" i="3"/>
  <c r="GI92" i="3"/>
  <c r="GH92" i="3"/>
  <c r="GI91" i="3"/>
  <c r="GH91" i="3"/>
  <c r="GI90" i="3"/>
  <c r="GH90" i="3"/>
  <c r="GI89" i="3"/>
  <c r="GH89" i="3"/>
  <c r="GI88" i="3"/>
  <c r="GH88" i="3"/>
  <c r="GI87" i="3"/>
  <c r="GH87" i="3"/>
  <c r="GI86" i="3"/>
  <c r="GH86" i="3"/>
  <c r="GI85" i="3"/>
  <c r="GH85" i="3"/>
  <c r="GI84" i="3"/>
  <c r="GH84" i="3"/>
  <c r="GI83" i="3"/>
  <c r="GH83" i="3"/>
  <c r="GI82" i="3"/>
  <c r="GH82" i="3"/>
  <c r="GI81" i="3"/>
  <c r="GH81" i="3"/>
  <c r="GI80" i="3"/>
  <c r="GH80" i="3"/>
  <c r="GI79" i="3"/>
  <c r="GH79" i="3"/>
  <c r="GI78" i="3"/>
  <c r="GH78" i="3"/>
  <c r="GI77" i="3"/>
  <c r="GH77" i="3"/>
  <c r="GI76" i="3"/>
  <c r="GH76" i="3"/>
  <c r="GI75" i="3"/>
  <c r="GH75" i="3"/>
  <c r="GI74" i="3"/>
  <c r="GH74" i="3"/>
  <c r="GI73" i="3"/>
  <c r="GH73" i="3"/>
  <c r="GI72" i="3"/>
  <c r="GH72" i="3"/>
  <c r="GB95" i="3"/>
  <c r="GA95" i="3"/>
  <c r="GB94" i="3"/>
  <c r="GA94" i="3"/>
  <c r="GB93" i="3"/>
  <c r="GA93" i="3"/>
  <c r="GB92" i="3"/>
  <c r="GA92" i="3"/>
  <c r="GB91" i="3"/>
  <c r="GA91" i="3"/>
  <c r="GB90" i="3"/>
  <c r="GA90" i="3"/>
  <c r="GB89" i="3"/>
  <c r="GA89" i="3"/>
  <c r="GB88" i="3"/>
  <c r="GA88" i="3"/>
  <c r="GB87" i="3"/>
  <c r="GA87" i="3"/>
  <c r="GB86" i="3"/>
  <c r="GA86" i="3"/>
  <c r="GB85" i="3"/>
  <c r="GA85" i="3"/>
  <c r="GB84" i="3"/>
  <c r="GA84" i="3"/>
  <c r="GB83" i="3"/>
  <c r="GA83" i="3"/>
  <c r="GB82" i="3"/>
  <c r="GA82" i="3"/>
  <c r="GB81" i="3"/>
  <c r="GA81" i="3"/>
  <c r="GB80" i="3"/>
  <c r="GA80" i="3"/>
  <c r="GB79" i="3"/>
  <c r="GA79" i="3"/>
  <c r="GB78" i="3"/>
  <c r="GA78" i="3"/>
  <c r="GB77" i="3"/>
  <c r="GA77" i="3"/>
  <c r="GB76" i="3"/>
  <c r="GA76" i="3"/>
  <c r="GB75" i="3"/>
  <c r="GA75" i="3"/>
  <c r="GB74" i="3"/>
  <c r="GA74" i="3"/>
  <c r="GB73" i="3"/>
  <c r="GA73" i="3"/>
  <c r="GB72" i="3"/>
  <c r="GA72" i="3"/>
  <c r="GB71" i="3"/>
  <c r="GA71" i="3"/>
  <c r="FU94" i="3"/>
  <c r="FT94" i="3"/>
  <c r="FU93" i="3"/>
  <c r="FT93" i="3"/>
  <c r="FU92" i="3"/>
  <c r="FT92" i="3"/>
  <c r="FU91" i="3"/>
  <c r="FT91" i="3"/>
  <c r="FU90" i="3"/>
  <c r="FT90" i="3"/>
  <c r="FU89" i="3"/>
  <c r="FT89" i="3"/>
  <c r="FU88" i="3"/>
  <c r="FT88" i="3"/>
  <c r="FU87" i="3"/>
  <c r="FT87" i="3"/>
  <c r="FU86" i="3"/>
  <c r="FT86" i="3"/>
  <c r="FU85" i="3"/>
  <c r="FT85" i="3"/>
  <c r="FU84" i="3"/>
  <c r="FT84" i="3"/>
  <c r="FU83" i="3"/>
  <c r="FT83" i="3"/>
  <c r="FU82" i="3"/>
  <c r="FT82" i="3"/>
  <c r="FU81" i="3"/>
  <c r="FT81" i="3"/>
  <c r="FU80" i="3"/>
  <c r="FT80" i="3"/>
  <c r="FU79" i="3"/>
  <c r="FT79" i="3"/>
  <c r="FU78" i="3"/>
  <c r="FT78" i="3"/>
  <c r="FU77" i="3"/>
  <c r="FT77" i="3"/>
  <c r="FU76" i="3"/>
  <c r="FT76" i="3"/>
  <c r="FU75" i="3"/>
  <c r="FT75" i="3"/>
  <c r="FU74" i="3"/>
  <c r="FT74" i="3"/>
  <c r="FU73" i="3"/>
  <c r="FT73" i="3"/>
  <c r="FU72" i="3"/>
  <c r="FT72" i="3"/>
  <c r="FU71" i="3"/>
  <c r="FT71" i="3"/>
  <c r="FU70" i="3"/>
  <c r="FT70" i="3"/>
  <c r="FN93" i="3"/>
  <c r="FM93" i="3"/>
  <c r="FN92" i="3"/>
  <c r="FM92" i="3"/>
  <c r="FN91" i="3"/>
  <c r="FM91" i="3"/>
  <c r="FN90" i="3"/>
  <c r="FM90" i="3"/>
  <c r="FN89" i="3"/>
  <c r="FM89" i="3"/>
  <c r="FN88" i="3"/>
  <c r="FM88" i="3"/>
  <c r="FN87" i="3"/>
  <c r="FM87" i="3"/>
  <c r="FN86" i="3"/>
  <c r="FM86" i="3"/>
  <c r="FN85" i="3"/>
  <c r="FM85" i="3"/>
  <c r="FN84" i="3"/>
  <c r="FM84" i="3"/>
  <c r="FN83" i="3"/>
  <c r="FM83" i="3"/>
  <c r="FN82" i="3"/>
  <c r="FM82" i="3"/>
  <c r="FN81" i="3"/>
  <c r="FM81" i="3"/>
  <c r="FN80" i="3"/>
  <c r="FM80" i="3"/>
  <c r="FN79" i="3"/>
  <c r="FM79" i="3"/>
  <c r="FN78" i="3"/>
  <c r="FM78" i="3"/>
  <c r="FN77" i="3"/>
  <c r="FM77" i="3"/>
  <c r="FN76" i="3"/>
  <c r="FM76" i="3"/>
  <c r="FN75" i="3"/>
  <c r="FM75" i="3"/>
  <c r="FN74" i="3"/>
  <c r="FM74" i="3"/>
  <c r="FN73" i="3"/>
  <c r="FM73" i="3"/>
  <c r="FN72" i="3"/>
  <c r="FM72" i="3"/>
  <c r="FN71" i="3"/>
  <c r="FM71" i="3"/>
  <c r="FN70" i="3"/>
  <c r="FM70" i="3"/>
  <c r="FN69" i="3"/>
  <c r="FM69" i="3"/>
  <c r="FG92" i="3"/>
  <c r="FF92" i="3"/>
  <c r="FG91" i="3"/>
  <c r="FF91" i="3"/>
  <c r="FG90" i="3"/>
  <c r="FF90" i="3"/>
  <c r="FG89" i="3"/>
  <c r="FF89" i="3"/>
  <c r="FG88" i="3"/>
  <c r="FF88" i="3"/>
  <c r="FG87" i="3"/>
  <c r="FF87" i="3"/>
  <c r="FG86" i="3"/>
  <c r="FF86" i="3"/>
  <c r="FG85" i="3"/>
  <c r="FF85" i="3"/>
  <c r="FG84" i="3"/>
  <c r="FF84" i="3"/>
  <c r="FG83" i="3"/>
  <c r="FF83" i="3"/>
  <c r="FG82" i="3"/>
  <c r="FF82" i="3"/>
  <c r="FG81" i="3"/>
  <c r="FF81" i="3"/>
  <c r="FG80" i="3"/>
  <c r="FF80" i="3"/>
  <c r="FG79" i="3"/>
  <c r="FF79" i="3"/>
  <c r="FG78" i="3"/>
  <c r="FF78" i="3"/>
  <c r="FG77" i="3"/>
  <c r="FF77" i="3"/>
  <c r="FG76" i="3"/>
  <c r="FF76" i="3"/>
  <c r="FG75" i="3"/>
  <c r="FF75" i="3"/>
  <c r="FG74" i="3"/>
  <c r="FF74" i="3"/>
  <c r="FG73" i="3"/>
  <c r="FF73" i="3"/>
  <c r="FG72" i="3"/>
  <c r="FF72" i="3"/>
  <c r="FG71" i="3"/>
  <c r="FF71" i="3"/>
  <c r="FG70" i="3"/>
  <c r="FF70" i="3"/>
  <c r="FG69" i="3"/>
  <c r="FF69" i="3"/>
  <c r="FG68" i="3"/>
  <c r="FF68" i="3"/>
  <c r="EZ91" i="3"/>
  <c r="EY91" i="3"/>
  <c r="EZ90" i="3"/>
  <c r="EY90" i="3"/>
  <c r="EZ89" i="3"/>
  <c r="EY89" i="3"/>
  <c r="EZ88" i="3"/>
  <c r="EY88" i="3"/>
  <c r="EZ87" i="3"/>
  <c r="EY87" i="3"/>
  <c r="EZ86" i="3"/>
  <c r="EY86" i="3"/>
  <c r="EZ85" i="3"/>
  <c r="EY85" i="3"/>
  <c r="EZ84" i="3"/>
  <c r="EY84" i="3"/>
  <c r="EZ83" i="3"/>
  <c r="EY83" i="3"/>
  <c r="EZ82" i="3"/>
  <c r="EY82" i="3"/>
  <c r="EZ81" i="3"/>
  <c r="EY81" i="3"/>
  <c r="EZ80" i="3"/>
  <c r="EY80" i="3"/>
  <c r="EZ79" i="3"/>
  <c r="EY79" i="3"/>
  <c r="EZ78" i="3"/>
  <c r="EY78" i="3"/>
  <c r="EZ77" i="3"/>
  <c r="EY77" i="3"/>
  <c r="EZ76" i="3"/>
  <c r="EY76" i="3"/>
  <c r="EZ75" i="3"/>
  <c r="EY75" i="3"/>
  <c r="EZ74" i="3"/>
  <c r="EY74" i="3"/>
  <c r="EZ73" i="3"/>
  <c r="EY73" i="3"/>
  <c r="EZ72" i="3"/>
  <c r="EY72" i="3"/>
  <c r="EZ71" i="3"/>
  <c r="EY71" i="3"/>
  <c r="EZ70" i="3"/>
  <c r="EY70" i="3"/>
  <c r="EZ69" i="3"/>
  <c r="EY69" i="3"/>
  <c r="EZ68" i="3"/>
  <c r="EY68" i="3"/>
  <c r="EZ67" i="3"/>
  <c r="EY67" i="3"/>
  <c r="ES90" i="3"/>
  <c r="ER90" i="3"/>
  <c r="ES89" i="3"/>
  <c r="ER89" i="3"/>
  <c r="ES88" i="3"/>
  <c r="ER88" i="3"/>
  <c r="ES87" i="3"/>
  <c r="ER87" i="3"/>
  <c r="ES86" i="3"/>
  <c r="ER86" i="3"/>
  <c r="ES85" i="3"/>
  <c r="ER85" i="3"/>
  <c r="ES84" i="3"/>
  <c r="ER84" i="3"/>
  <c r="ES83" i="3"/>
  <c r="ER83" i="3"/>
  <c r="ES82" i="3"/>
  <c r="ER82" i="3"/>
  <c r="ES81" i="3"/>
  <c r="ER81" i="3"/>
  <c r="ES80" i="3"/>
  <c r="ER80" i="3"/>
  <c r="ES79" i="3"/>
  <c r="ER79" i="3"/>
  <c r="ES78" i="3"/>
  <c r="ER78" i="3"/>
  <c r="ES77" i="3"/>
  <c r="ER77" i="3"/>
  <c r="ES76" i="3"/>
  <c r="ER76" i="3"/>
  <c r="ES75" i="3"/>
  <c r="ER75" i="3"/>
  <c r="ES74" i="3"/>
  <c r="ER74" i="3"/>
  <c r="ES73" i="3"/>
  <c r="ER73" i="3"/>
  <c r="ES72" i="3"/>
  <c r="ER72" i="3"/>
  <c r="ES71" i="3"/>
  <c r="ER71" i="3"/>
  <c r="ES70" i="3"/>
  <c r="ER70" i="3"/>
  <c r="ES69" i="3"/>
  <c r="ER69" i="3"/>
  <c r="ES68" i="3"/>
  <c r="ER68" i="3"/>
  <c r="ES67" i="3"/>
  <c r="ER67" i="3"/>
  <c r="ES66" i="3"/>
  <c r="ER66" i="3"/>
  <c r="EL89" i="3"/>
  <c r="EK89" i="3"/>
  <c r="EL88" i="3"/>
  <c r="EK88" i="3"/>
  <c r="EL87" i="3"/>
  <c r="EK87" i="3"/>
  <c r="EL86" i="3"/>
  <c r="EK86" i="3"/>
  <c r="EL85" i="3"/>
  <c r="EK85" i="3"/>
  <c r="EL84" i="3"/>
  <c r="EK84" i="3"/>
  <c r="EL83" i="3"/>
  <c r="EK83" i="3"/>
  <c r="EL82" i="3"/>
  <c r="EK82" i="3"/>
  <c r="EL81" i="3"/>
  <c r="EK81" i="3"/>
  <c r="EL80" i="3"/>
  <c r="EK80" i="3"/>
  <c r="EL79" i="3"/>
  <c r="EK79" i="3"/>
  <c r="EL78" i="3"/>
  <c r="EK78" i="3"/>
  <c r="EL77" i="3"/>
  <c r="EK77" i="3"/>
  <c r="EL76" i="3"/>
  <c r="EK76" i="3"/>
  <c r="EL75" i="3"/>
  <c r="EK75" i="3"/>
  <c r="EL74" i="3"/>
  <c r="EK74" i="3"/>
  <c r="EL73" i="3"/>
  <c r="EK73" i="3"/>
  <c r="EL72" i="3"/>
  <c r="EK72" i="3"/>
  <c r="EL71" i="3"/>
  <c r="EK71" i="3"/>
  <c r="EL70" i="3"/>
  <c r="EK70" i="3"/>
  <c r="EL69" i="3"/>
  <c r="EK69" i="3"/>
  <c r="EL68" i="3"/>
  <c r="EK68" i="3"/>
  <c r="EL67" i="3"/>
  <c r="EK67" i="3"/>
  <c r="EL66" i="3"/>
  <c r="EK66" i="3"/>
  <c r="EL65" i="3"/>
  <c r="EK65" i="3"/>
  <c r="EE88" i="3"/>
  <c r="ED88" i="3"/>
  <c r="EE87" i="3"/>
  <c r="ED87" i="3"/>
  <c r="EE86" i="3"/>
  <c r="ED86" i="3"/>
  <c r="EE85" i="3"/>
  <c r="ED85" i="3"/>
  <c r="EE84" i="3"/>
  <c r="ED84" i="3"/>
  <c r="EE83" i="3"/>
  <c r="ED83" i="3"/>
  <c r="EE82" i="3"/>
  <c r="ED82" i="3"/>
  <c r="EE81" i="3"/>
  <c r="ED81" i="3"/>
  <c r="EE80" i="3"/>
  <c r="ED80" i="3"/>
  <c r="EE79" i="3"/>
  <c r="ED79" i="3"/>
  <c r="EE78" i="3"/>
  <c r="ED78" i="3"/>
  <c r="EE77" i="3"/>
  <c r="ED77" i="3"/>
  <c r="EE76" i="3"/>
  <c r="ED76" i="3"/>
  <c r="EE75" i="3"/>
  <c r="ED75" i="3"/>
  <c r="EE74" i="3"/>
  <c r="ED74" i="3"/>
  <c r="EE73" i="3"/>
  <c r="ED73" i="3"/>
  <c r="EE72" i="3"/>
  <c r="ED72" i="3"/>
  <c r="EE71" i="3"/>
  <c r="ED71" i="3"/>
  <c r="EE70" i="3"/>
  <c r="ED70" i="3"/>
  <c r="EE69" i="3"/>
  <c r="ED69" i="3"/>
  <c r="EE68" i="3"/>
  <c r="ED68" i="3"/>
  <c r="EE67" i="3"/>
  <c r="ED67" i="3"/>
  <c r="EE66" i="3"/>
  <c r="ED66" i="3"/>
  <c r="EE65" i="3"/>
  <c r="ED65" i="3"/>
  <c r="EE64" i="3"/>
  <c r="ED64" i="3"/>
  <c r="DX87" i="3"/>
  <c r="DW87" i="3"/>
  <c r="DX86" i="3"/>
  <c r="DW86" i="3"/>
  <c r="DX85" i="3"/>
  <c r="DW85" i="3"/>
  <c r="DX84" i="3"/>
  <c r="DW84" i="3"/>
  <c r="DX83" i="3"/>
  <c r="DW83" i="3"/>
  <c r="DX82" i="3"/>
  <c r="DW82" i="3"/>
  <c r="DX81" i="3"/>
  <c r="DW81" i="3"/>
  <c r="DX80" i="3"/>
  <c r="DW80" i="3"/>
  <c r="DX79" i="3"/>
  <c r="DW79" i="3"/>
  <c r="DX78" i="3"/>
  <c r="DW78" i="3"/>
  <c r="DX77" i="3"/>
  <c r="DW77" i="3"/>
  <c r="DX76" i="3"/>
  <c r="DW76" i="3"/>
  <c r="DX75" i="3"/>
  <c r="DW75" i="3"/>
  <c r="DX74" i="3"/>
  <c r="DW74" i="3"/>
  <c r="DX73" i="3"/>
  <c r="DW73" i="3"/>
  <c r="DX72" i="3"/>
  <c r="DW72" i="3"/>
  <c r="DX71" i="3"/>
  <c r="DW71" i="3"/>
  <c r="DX70" i="3"/>
  <c r="DW70" i="3"/>
  <c r="DX69" i="3"/>
  <c r="DW69" i="3"/>
  <c r="DX68" i="3"/>
  <c r="DW68" i="3"/>
  <c r="DX67" i="3"/>
  <c r="DW67" i="3"/>
  <c r="DX66" i="3"/>
  <c r="DW66" i="3"/>
  <c r="DX65" i="3"/>
  <c r="DW65" i="3"/>
  <c r="DX64" i="3"/>
  <c r="DW64" i="3"/>
  <c r="DX63" i="3"/>
  <c r="DW63" i="3"/>
  <c r="DQ86" i="3"/>
  <c r="DP86" i="3"/>
  <c r="DQ85" i="3"/>
  <c r="DP85" i="3"/>
  <c r="DQ84" i="3"/>
  <c r="DP84" i="3"/>
  <c r="DQ83" i="3"/>
  <c r="DP83" i="3"/>
  <c r="DQ82" i="3"/>
  <c r="DP82" i="3"/>
  <c r="DQ81" i="3"/>
  <c r="DP81" i="3"/>
  <c r="DQ80" i="3"/>
  <c r="DP80" i="3"/>
  <c r="DQ79" i="3"/>
  <c r="DP79" i="3"/>
  <c r="DQ78" i="3"/>
  <c r="DP78" i="3"/>
  <c r="DQ77" i="3"/>
  <c r="DP77" i="3"/>
  <c r="DQ76" i="3"/>
  <c r="DP76" i="3"/>
  <c r="DQ75" i="3"/>
  <c r="DP75" i="3"/>
  <c r="DQ74" i="3"/>
  <c r="DP74" i="3"/>
  <c r="DQ73" i="3"/>
  <c r="DP73" i="3"/>
  <c r="DQ72" i="3"/>
  <c r="DP72" i="3"/>
  <c r="DQ71" i="3"/>
  <c r="DP71" i="3"/>
  <c r="DQ70" i="3"/>
  <c r="DP70" i="3"/>
  <c r="DQ69" i="3"/>
  <c r="DP69" i="3"/>
  <c r="DQ68" i="3"/>
  <c r="DP68" i="3"/>
  <c r="DQ67" i="3"/>
  <c r="DP67" i="3"/>
  <c r="DQ66" i="3"/>
  <c r="DP66" i="3"/>
  <c r="DQ65" i="3"/>
  <c r="DP65" i="3"/>
  <c r="DQ64" i="3"/>
  <c r="DP64" i="3"/>
  <c r="DQ63" i="3"/>
  <c r="DP63" i="3"/>
  <c r="DQ62" i="3"/>
  <c r="DP62" i="3"/>
  <c r="DJ85" i="3"/>
  <c r="DI85" i="3"/>
  <c r="DJ84" i="3"/>
  <c r="DI84" i="3"/>
  <c r="DJ83" i="3"/>
  <c r="DI83" i="3"/>
  <c r="DJ82" i="3"/>
  <c r="DI82" i="3"/>
  <c r="DJ81" i="3"/>
  <c r="DI81" i="3"/>
  <c r="DJ80" i="3"/>
  <c r="DI80" i="3"/>
  <c r="DJ79" i="3"/>
  <c r="DI79" i="3"/>
  <c r="DJ78" i="3"/>
  <c r="DI78" i="3"/>
  <c r="DJ77" i="3"/>
  <c r="DI77" i="3"/>
  <c r="DJ76" i="3"/>
  <c r="DI76" i="3"/>
  <c r="DJ75" i="3"/>
  <c r="DI75" i="3"/>
  <c r="DJ74" i="3"/>
  <c r="DI74" i="3"/>
  <c r="DJ73" i="3"/>
  <c r="DI73" i="3"/>
  <c r="DJ72" i="3"/>
  <c r="DI72" i="3"/>
  <c r="DJ71" i="3"/>
  <c r="DI71" i="3"/>
  <c r="DJ70" i="3"/>
  <c r="DI70" i="3"/>
  <c r="DJ69" i="3"/>
  <c r="DI69" i="3"/>
  <c r="DJ68" i="3"/>
  <c r="DI68" i="3"/>
  <c r="DJ67" i="3"/>
  <c r="DI67" i="3"/>
  <c r="DJ66" i="3"/>
  <c r="DI66" i="3"/>
  <c r="DJ65" i="3"/>
  <c r="DI65" i="3"/>
  <c r="DJ64" i="3"/>
  <c r="DI64" i="3"/>
  <c r="DJ63" i="3"/>
  <c r="DI63" i="3"/>
  <c r="DJ62" i="3"/>
  <c r="DI62" i="3"/>
  <c r="DJ61" i="3"/>
  <c r="DI61" i="3"/>
  <c r="DC84" i="3"/>
  <c r="DB84" i="3"/>
  <c r="DC83" i="3"/>
  <c r="DB83" i="3"/>
  <c r="DC82" i="3"/>
  <c r="DB82" i="3"/>
  <c r="DC81" i="3"/>
  <c r="DB81" i="3"/>
  <c r="DC80" i="3"/>
  <c r="DB80" i="3"/>
  <c r="DC79" i="3"/>
  <c r="DB79" i="3"/>
  <c r="DC78" i="3"/>
  <c r="DB78" i="3"/>
  <c r="DC77" i="3"/>
  <c r="DB77" i="3"/>
  <c r="DC76" i="3"/>
  <c r="DB76" i="3"/>
  <c r="DC75" i="3"/>
  <c r="DB75" i="3"/>
  <c r="DC74" i="3"/>
  <c r="DB74" i="3"/>
  <c r="DC73" i="3"/>
  <c r="DB73" i="3"/>
  <c r="DC72" i="3"/>
  <c r="DB72" i="3"/>
  <c r="DC71" i="3"/>
  <c r="DB71" i="3"/>
  <c r="DC70" i="3"/>
  <c r="DB70" i="3"/>
  <c r="DC69" i="3"/>
  <c r="DB69" i="3"/>
  <c r="DC68" i="3"/>
  <c r="DB68" i="3"/>
  <c r="DC67" i="3"/>
  <c r="DB67" i="3"/>
  <c r="DC66" i="3"/>
  <c r="DB66" i="3"/>
  <c r="DC65" i="3"/>
  <c r="DB65" i="3"/>
  <c r="DC64" i="3"/>
  <c r="DB64" i="3"/>
  <c r="DC63" i="3"/>
  <c r="DB63" i="3"/>
  <c r="DC62" i="3"/>
  <c r="DB62" i="3"/>
  <c r="DC61" i="3"/>
  <c r="DB61" i="3"/>
  <c r="DC60" i="3"/>
  <c r="DB60" i="3"/>
  <c r="CV83" i="3"/>
  <c r="CU83" i="3"/>
  <c r="CV82" i="3"/>
  <c r="CU82" i="3"/>
  <c r="CV81" i="3"/>
  <c r="CU81" i="3"/>
  <c r="CV80" i="3"/>
  <c r="CU80" i="3"/>
  <c r="CV79" i="3"/>
  <c r="CU79" i="3"/>
  <c r="CV78" i="3"/>
  <c r="CU78" i="3"/>
  <c r="CV77" i="3"/>
  <c r="CU77" i="3"/>
  <c r="CV76" i="3"/>
  <c r="CU76" i="3"/>
  <c r="CV75" i="3"/>
  <c r="CU75" i="3"/>
  <c r="CV74" i="3"/>
  <c r="CU74" i="3"/>
  <c r="CV73" i="3"/>
  <c r="CU73" i="3"/>
  <c r="CV72" i="3"/>
  <c r="CU72" i="3"/>
  <c r="CV71" i="3"/>
  <c r="CU71" i="3"/>
  <c r="CV70" i="3"/>
  <c r="CU70" i="3"/>
  <c r="CV69" i="3"/>
  <c r="CU69" i="3"/>
  <c r="CV68" i="3"/>
  <c r="CU68" i="3"/>
  <c r="CV67" i="3"/>
  <c r="CU67" i="3"/>
  <c r="CV66" i="3"/>
  <c r="CU66" i="3"/>
  <c r="CV65" i="3"/>
  <c r="CU65" i="3"/>
  <c r="CV64" i="3"/>
  <c r="CU64" i="3"/>
  <c r="CV63" i="3"/>
  <c r="CU63" i="3"/>
  <c r="CV62" i="3"/>
  <c r="CU62" i="3"/>
  <c r="CV61" i="3"/>
  <c r="CU61" i="3"/>
  <c r="CV60" i="3"/>
  <c r="CU60" i="3"/>
  <c r="CV59" i="3"/>
  <c r="CU59" i="3"/>
  <c r="CO82" i="3"/>
  <c r="CN82" i="3"/>
  <c r="CO81" i="3"/>
  <c r="CN81" i="3"/>
  <c r="CO80" i="3"/>
  <c r="CN80" i="3"/>
  <c r="CO79" i="3"/>
  <c r="CN79" i="3"/>
  <c r="CO78" i="3"/>
  <c r="CN78" i="3"/>
  <c r="CO77" i="3"/>
  <c r="CN77" i="3"/>
  <c r="CO76" i="3"/>
  <c r="CN76" i="3"/>
  <c r="CO75" i="3"/>
  <c r="CN75" i="3"/>
  <c r="CO74" i="3"/>
  <c r="CN74" i="3"/>
  <c r="CO73" i="3"/>
  <c r="CN73" i="3"/>
  <c r="CO72" i="3"/>
  <c r="CN72" i="3"/>
  <c r="CO71" i="3"/>
  <c r="CN71" i="3"/>
  <c r="CO70" i="3"/>
  <c r="CN70" i="3"/>
  <c r="CO69" i="3"/>
  <c r="CN69" i="3"/>
  <c r="CO68" i="3"/>
  <c r="CN68" i="3"/>
  <c r="CO67" i="3"/>
  <c r="CN67" i="3"/>
  <c r="CO66" i="3"/>
  <c r="CN66" i="3"/>
  <c r="CO65" i="3"/>
  <c r="CN65" i="3"/>
  <c r="CO64" i="3"/>
  <c r="CN64" i="3"/>
  <c r="CO63" i="3"/>
  <c r="CN63" i="3"/>
  <c r="CO62" i="3"/>
  <c r="CN62" i="3"/>
  <c r="CO61" i="3"/>
  <c r="CN61" i="3"/>
  <c r="CO60" i="3"/>
  <c r="CN60" i="3"/>
  <c r="CO59" i="3"/>
  <c r="CN59" i="3"/>
  <c r="CO58" i="3"/>
  <c r="CN58" i="3"/>
  <c r="CH81" i="3"/>
  <c r="CG81" i="3"/>
  <c r="CH80" i="3"/>
  <c r="CG80" i="3"/>
  <c r="CH79" i="3"/>
  <c r="CG79" i="3"/>
  <c r="CH78" i="3"/>
  <c r="CG78" i="3"/>
  <c r="CH77" i="3"/>
  <c r="CG77" i="3"/>
  <c r="CH76" i="3"/>
  <c r="CG76" i="3"/>
  <c r="CH75" i="3"/>
  <c r="CG75" i="3"/>
  <c r="CH74" i="3"/>
  <c r="CG74" i="3"/>
  <c r="CH73" i="3"/>
  <c r="CG73" i="3"/>
  <c r="CH72" i="3"/>
  <c r="CG72" i="3"/>
  <c r="CH71" i="3"/>
  <c r="CG71" i="3"/>
  <c r="CH70" i="3"/>
  <c r="CG70" i="3"/>
  <c r="CH69" i="3"/>
  <c r="CG69" i="3"/>
  <c r="CH68" i="3"/>
  <c r="CG68" i="3"/>
  <c r="CH67" i="3"/>
  <c r="CG67" i="3"/>
  <c r="CH66" i="3"/>
  <c r="CG66" i="3"/>
  <c r="CH65" i="3"/>
  <c r="CG65" i="3"/>
  <c r="CH64" i="3"/>
  <c r="CG64" i="3"/>
  <c r="CH63" i="3"/>
  <c r="CG63" i="3"/>
  <c r="CH62" i="3"/>
  <c r="CG62" i="3"/>
  <c r="CH61" i="3"/>
  <c r="CG61" i="3"/>
  <c r="CH60" i="3"/>
  <c r="CG60" i="3"/>
  <c r="CH59" i="3"/>
  <c r="CG59" i="3"/>
  <c r="CH58" i="3"/>
  <c r="CG58" i="3"/>
  <c r="CH57" i="3"/>
  <c r="CG57" i="3"/>
  <c r="CA80" i="3"/>
  <c r="BZ80" i="3"/>
  <c r="CA79" i="3"/>
  <c r="BZ79" i="3"/>
  <c r="CA78" i="3"/>
  <c r="BZ78" i="3"/>
  <c r="CA77" i="3"/>
  <c r="BZ77" i="3"/>
  <c r="CA76" i="3"/>
  <c r="BZ76" i="3"/>
  <c r="CA75" i="3"/>
  <c r="BZ75" i="3"/>
  <c r="CA74" i="3"/>
  <c r="BZ74" i="3"/>
  <c r="CA73" i="3"/>
  <c r="BZ73" i="3"/>
  <c r="CA72" i="3"/>
  <c r="BZ72" i="3"/>
  <c r="CA71" i="3"/>
  <c r="BZ71" i="3"/>
  <c r="CA70" i="3"/>
  <c r="BZ70" i="3"/>
  <c r="CA69" i="3"/>
  <c r="BZ69" i="3"/>
  <c r="CA68" i="3"/>
  <c r="BZ68" i="3"/>
  <c r="CA67" i="3"/>
  <c r="BZ67" i="3"/>
  <c r="CA66" i="3"/>
  <c r="BZ66" i="3"/>
  <c r="CA65" i="3"/>
  <c r="BZ65" i="3"/>
  <c r="CA64" i="3"/>
  <c r="BZ64" i="3"/>
  <c r="CA63" i="3"/>
  <c r="BZ63" i="3"/>
  <c r="CA62" i="3"/>
  <c r="BZ62" i="3"/>
  <c r="CA61" i="3"/>
  <c r="BZ61" i="3"/>
  <c r="CA60" i="3"/>
  <c r="BZ60" i="3"/>
  <c r="CA59" i="3"/>
  <c r="BZ59" i="3"/>
  <c r="CA58" i="3"/>
  <c r="BZ58" i="3"/>
  <c r="CA57" i="3"/>
  <c r="BZ57" i="3"/>
  <c r="CA56" i="3"/>
  <c r="BZ56" i="3"/>
  <c r="BT79" i="3"/>
  <c r="BS79" i="3"/>
  <c r="BT78" i="3"/>
  <c r="BS78" i="3"/>
  <c r="BT77" i="3"/>
  <c r="BS77" i="3"/>
  <c r="BT76" i="3"/>
  <c r="BS76" i="3"/>
  <c r="BT75" i="3"/>
  <c r="BS75" i="3"/>
  <c r="BT74" i="3"/>
  <c r="BS74" i="3"/>
  <c r="BT73" i="3"/>
  <c r="BS73" i="3"/>
  <c r="BT72" i="3"/>
  <c r="BS72" i="3"/>
  <c r="BT71" i="3"/>
  <c r="BS71" i="3"/>
  <c r="BT70" i="3"/>
  <c r="BS70" i="3"/>
  <c r="BT69" i="3"/>
  <c r="BS69" i="3"/>
  <c r="BT68" i="3"/>
  <c r="BS68" i="3"/>
  <c r="BT67" i="3"/>
  <c r="BS67" i="3"/>
  <c r="BT66" i="3"/>
  <c r="BS66" i="3"/>
  <c r="BT65" i="3"/>
  <c r="BS65" i="3"/>
  <c r="BT64" i="3"/>
  <c r="BS64" i="3"/>
  <c r="BT63" i="3"/>
  <c r="BS63" i="3"/>
  <c r="BT62" i="3"/>
  <c r="BS62" i="3"/>
  <c r="BT61" i="3"/>
  <c r="BS61" i="3"/>
  <c r="BT60" i="3"/>
  <c r="BS60" i="3"/>
  <c r="BT59" i="3"/>
  <c r="BS59" i="3"/>
  <c r="BT58" i="3"/>
  <c r="BS58" i="3"/>
  <c r="BT57" i="3"/>
  <c r="BS57" i="3"/>
  <c r="BT56" i="3"/>
  <c r="BS56" i="3"/>
  <c r="BT55" i="3"/>
  <c r="BS55" i="3"/>
  <c r="BM78" i="3"/>
  <c r="BL78" i="3"/>
  <c r="BM77" i="3"/>
  <c r="BL77" i="3"/>
  <c r="BM76" i="3"/>
  <c r="BL76" i="3"/>
  <c r="BM75" i="3"/>
  <c r="BL75" i="3"/>
  <c r="BM74" i="3"/>
  <c r="BL74" i="3"/>
  <c r="BM73" i="3"/>
  <c r="BL73" i="3"/>
  <c r="BM72" i="3"/>
  <c r="BL72" i="3"/>
  <c r="BM71" i="3"/>
  <c r="BL71" i="3"/>
  <c r="BM70" i="3"/>
  <c r="BL70" i="3"/>
  <c r="BM69" i="3"/>
  <c r="BL69" i="3"/>
  <c r="BM68" i="3"/>
  <c r="BL68" i="3"/>
  <c r="BM67" i="3"/>
  <c r="BL67" i="3"/>
  <c r="BM66" i="3"/>
  <c r="BL66" i="3"/>
  <c r="BM65" i="3"/>
  <c r="BL65" i="3"/>
  <c r="BM64" i="3"/>
  <c r="BL64" i="3"/>
  <c r="BM63" i="3"/>
  <c r="BL63" i="3"/>
  <c r="BM62" i="3"/>
  <c r="BL62" i="3"/>
  <c r="BM61" i="3"/>
  <c r="BL61" i="3"/>
  <c r="BM60" i="3"/>
  <c r="BL60" i="3"/>
  <c r="BM59" i="3"/>
  <c r="BL59" i="3"/>
  <c r="BM58" i="3"/>
  <c r="BL58" i="3"/>
  <c r="BM57" i="3"/>
  <c r="BL57" i="3"/>
  <c r="BM56" i="3"/>
  <c r="BL56" i="3"/>
  <c r="BM55" i="3"/>
  <c r="BL55" i="3"/>
  <c r="BM54" i="3"/>
  <c r="BL54" i="3"/>
  <c r="BF77" i="3"/>
  <c r="BE77" i="3"/>
  <c r="BF76" i="3"/>
  <c r="BE76" i="3"/>
  <c r="BF75" i="3"/>
  <c r="BE75" i="3"/>
  <c r="BF74" i="3"/>
  <c r="BE74" i="3"/>
  <c r="BF73" i="3"/>
  <c r="BE73" i="3"/>
  <c r="BF72" i="3"/>
  <c r="BE72" i="3"/>
  <c r="BF71" i="3"/>
  <c r="BE71" i="3"/>
  <c r="BF70" i="3"/>
  <c r="BE70" i="3"/>
  <c r="BF69" i="3"/>
  <c r="BE69" i="3"/>
  <c r="BF68" i="3"/>
  <c r="BE68" i="3"/>
  <c r="BF67" i="3"/>
  <c r="BE67" i="3"/>
  <c r="BF66" i="3"/>
  <c r="BE66" i="3"/>
  <c r="BF65" i="3"/>
  <c r="BE65" i="3"/>
  <c r="BF64" i="3"/>
  <c r="BE64" i="3"/>
  <c r="BF63" i="3"/>
  <c r="BE63" i="3"/>
  <c r="BF62" i="3"/>
  <c r="BE62" i="3"/>
  <c r="BF61" i="3"/>
  <c r="BE61" i="3"/>
  <c r="BF60" i="3"/>
  <c r="BE60" i="3"/>
  <c r="BF59" i="3"/>
  <c r="BE59" i="3"/>
  <c r="BF58" i="3"/>
  <c r="BE58" i="3"/>
  <c r="BF57" i="3"/>
  <c r="BE57" i="3"/>
  <c r="BF56" i="3"/>
  <c r="BE56" i="3"/>
  <c r="BF55" i="3"/>
  <c r="BE55" i="3"/>
  <c r="BF54" i="3"/>
  <c r="BE54" i="3"/>
  <c r="BF53" i="3"/>
  <c r="BE53" i="3"/>
  <c r="AY76" i="3"/>
  <c r="AX76" i="3"/>
  <c r="AY75" i="3"/>
  <c r="AX75" i="3"/>
  <c r="AY74" i="3"/>
  <c r="AX74" i="3"/>
  <c r="AY73" i="3"/>
  <c r="AX73" i="3"/>
  <c r="AY72" i="3"/>
  <c r="AX72" i="3"/>
  <c r="AY71" i="3"/>
  <c r="AX71" i="3"/>
  <c r="AY70" i="3"/>
  <c r="AX70" i="3"/>
  <c r="AY69" i="3"/>
  <c r="AX69" i="3"/>
  <c r="AY68" i="3"/>
  <c r="AX68" i="3"/>
  <c r="AY67" i="3"/>
  <c r="AX67" i="3"/>
  <c r="AY66" i="3"/>
  <c r="AX66" i="3"/>
  <c r="AY65" i="3"/>
  <c r="AX65" i="3"/>
  <c r="AY64" i="3"/>
  <c r="AX64" i="3"/>
  <c r="AY63" i="3"/>
  <c r="AX63" i="3"/>
  <c r="AY62" i="3"/>
  <c r="AX62" i="3"/>
  <c r="AY61" i="3"/>
  <c r="AX61" i="3"/>
  <c r="AY60" i="3"/>
  <c r="AX60" i="3"/>
  <c r="AY59" i="3"/>
  <c r="AX59" i="3"/>
  <c r="AY58" i="3"/>
  <c r="AX58" i="3"/>
  <c r="AY57" i="3"/>
  <c r="AX57" i="3"/>
  <c r="AY56" i="3"/>
  <c r="AX56" i="3"/>
  <c r="AY55" i="3"/>
  <c r="AX55" i="3"/>
  <c r="AY54" i="3"/>
  <c r="AX54" i="3"/>
  <c r="AY53" i="3"/>
  <c r="AX53" i="3"/>
  <c r="AY52" i="3"/>
  <c r="AX52" i="3"/>
  <c r="AR75" i="3"/>
  <c r="AQ75" i="3"/>
  <c r="AR74" i="3"/>
  <c r="AQ74" i="3"/>
  <c r="AR73" i="3"/>
  <c r="AQ73" i="3"/>
  <c r="AR72" i="3"/>
  <c r="AQ72" i="3"/>
  <c r="AR71" i="3"/>
  <c r="AQ71" i="3"/>
  <c r="AR70" i="3"/>
  <c r="AQ70" i="3"/>
  <c r="AR69" i="3"/>
  <c r="AQ69" i="3"/>
  <c r="AR68" i="3"/>
  <c r="AQ68" i="3"/>
  <c r="AR67" i="3"/>
  <c r="AQ67" i="3"/>
  <c r="AR66" i="3"/>
  <c r="AQ66" i="3"/>
  <c r="AR65" i="3"/>
  <c r="AQ65" i="3"/>
  <c r="AR64" i="3"/>
  <c r="AQ64" i="3"/>
  <c r="AR63" i="3"/>
  <c r="AQ63" i="3"/>
  <c r="AR62" i="3"/>
  <c r="AQ62" i="3"/>
  <c r="AR61" i="3"/>
  <c r="AQ61" i="3"/>
  <c r="AR60" i="3"/>
  <c r="AQ60" i="3"/>
  <c r="AR59" i="3"/>
  <c r="AQ59" i="3"/>
  <c r="AR58" i="3"/>
  <c r="AQ58" i="3"/>
  <c r="AR57" i="3"/>
  <c r="AQ57" i="3"/>
  <c r="AR56" i="3"/>
  <c r="AQ56" i="3"/>
  <c r="AR55" i="3"/>
  <c r="AQ55" i="3"/>
  <c r="AR54" i="3"/>
  <c r="AQ54" i="3"/>
  <c r="AR53" i="3"/>
  <c r="AQ53" i="3"/>
  <c r="AR52" i="3"/>
  <c r="AQ52" i="3"/>
  <c r="AR51" i="3"/>
  <c r="AQ51" i="3"/>
  <c r="AK74" i="3"/>
  <c r="AJ74" i="3"/>
  <c r="AK73" i="3"/>
  <c r="AJ73" i="3"/>
  <c r="AK72" i="3"/>
  <c r="AJ72" i="3"/>
  <c r="AK71" i="3"/>
  <c r="AJ71" i="3"/>
  <c r="AK70" i="3"/>
  <c r="AJ70" i="3"/>
  <c r="AK69" i="3"/>
  <c r="AJ69" i="3"/>
  <c r="AK68" i="3"/>
  <c r="AJ68" i="3"/>
  <c r="AK67" i="3"/>
  <c r="AJ67" i="3"/>
  <c r="AK66" i="3"/>
  <c r="AJ66" i="3"/>
  <c r="AK65" i="3"/>
  <c r="AJ65" i="3"/>
  <c r="AK64" i="3"/>
  <c r="AJ64" i="3"/>
  <c r="AK63" i="3"/>
  <c r="AJ63" i="3"/>
  <c r="AK62" i="3"/>
  <c r="AJ62" i="3"/>
  <c r="AK61" i="3"/>
  <c r="AJ61" i="3"/>
  <c r="AK60" i="3"/>
  <c r="AJ60" i="3"/>
  <c r="AK59" i="3"/>
  <c r="AJ59" i="3"/>
  <c r="AK58" i="3"/>
  <c r="AJ58" i="3"/>
  <c r="AK57" i="3"/>
  <c r="AJ57" i="3"/>
  <c r="AK56" i="3"/>
  <c r="AJ56" i="3"/>
  <c r="AK55" i="3"/>
  <c r="AJ55" i="3"/>
  <c r="AK54" i="3"/>
  <c r="AJ54" i="3"/>
  <c r="AK53" i="3"/>
  <c r="AJ53" i="3"/>
  <c r="AK52" i="3"/>
  <c r="AJ52" i="3"/>
  <c r="AK51" i="3"/>
  <c r="AJ51" i="3"/>
  <c r="AK50" i="3"/>
  <c r="AJ50" i="3"/>
  <c r="AD73" i="3"/>
  <c r="AC73" i="3"/>
  <c r="AD72" i="3"/>
  <c r="AC72" i="3"/>
  <c r="AD71" i="3"/>
  <c r="AC71" i="3"/>
  <c r="AD70" i="3"/>
  <c r="AC70" i="3"/>
  <c r="AD69" i="3"/>
  <c r="AC69" i="3"/>
  <c r="AD68" i="3"/>
  <c r="AC68" i="3"/>
  <c r="AD67" i="3"/>
  <c r="AC67" i="3"/>
  <c r="AD66" i="3"/>
  <c r="AC66" i="3"/>
  <c r="AD65" i="3"/>
  <c r="AC65" i="3"/>
  <c r="AD64" i="3"/>
  <c r="AC64" i="3"/>
  <c r="AD63" i="3"/>
  <c r="AC63" i="3"/>
  <c r="AD62" i="3"/>
  <c r="AC62" i="3"/>
  <c r="AD61" i="3"/>
  <c r="AC61" i="3"/>
  <c r="AD60" i="3"/>
  <c r="AC60" i="3"/>
  <c r="AD59" i="3"/>
  <c r="AC59" i="3"/>
  <c r="AD58" i="3"/>
  <c r="AC58" i="3"/>
  <c r="AD57" i="3"/>
  <c r="AC57" i="3"/>
  <c r="AD56" i="3"/>
  <c r="AC56" i="3"/>
  <c r="AD55" i="3"/>
  <c r="AC55" i="3"/>
  <c r="AD54" i="3"/>
  <c r="AC54" i="3"/>
  <c r="AD53" i="3"/>
  <c r="AC53" i="3"/>
  <c r="AD52" i="3"/>
  <c r="AC52" i="3"/>
  <c r="AD51" i="3"/>
  <c r="AC51" i="3"/>
  <c r="AD50" i="3"/>
  <c r="AC50" i="3"/>
  <c r="AD49" i="3"/>
  <c r="AC49" i="3"/>
  <c r="W72" i="3"/>
  <c r="V72" i="3"/>
  <c r="W71" i="3"/>
  <c r="V71" i="3"/>
  <c r="W70" i="3"/>
  <c r="V70" i="3"/>
  <c r="W69" i="3"/>
  <c r="V69" i="3"/>
  <c r="W68" i="3"/>
  <c r="V68" i="3"/>
  <c r="W67" i="3"/>
  <c r="V67" i="3"/>
  <c r="W66" i="3"/>
  <c r="V66" i="3"/>
  <c r="W65" i="3"/>
  <c r="V65" i="3"/>
  <c r="W64" i="3"/>
  <c r="V64" i="3"/>
  <c r="W63" i="3"/>
  <c r="V63" i="3"/>
  <c r="W62" i="3"/>
  <c r="V62" i="3"/>
  <c r="W61" i="3"/>
  <c r="V61" i="3"/>
  <c r="W60" i="3"/>
  <c r="V60" i="3"/>
  <c r="W59" i="3"/>
  <c r="V59" i="3"/>
  <c r="W58" i="3"/>
  <c r="V58" i="3"/>
  <c r="W57" i="3"/>
  <c r="V57" i="3"/>
  <c r="W56" i="3"/>
  <c r="V56" i="3"/>
  <c r="W55" i="3"/>
  <c r="V55" i="3"/>
  <c r="W54" i="3"/>
  <c r="V54" i="3"/>
  <c r="W53" i="3"/>
  <c r="V53" i="3"/>
  <c r="W52" i="3"/>
  <c r="V52" i="3"/>
  <c r="W51" i="3"/>
  <c r="V51" i="3"/>
  <c r="W50" i="3"/>
  <c r="V50" i="3"/>
  <c r="W49" i="3"/>
  <c r="V49" i="3"/>
  <c r="W48" i="3"/>
  <c r="V48" i="3"/>
  <c r="P72" i="3"/>
  <c r="N72" i="3"/>
  <c r="P71" i="3"/>
  <c r="N71" i="3"/>
  <c r="P70" i="3"/>
  <c r="N70" i="3"/>
  <c r="P69" i="3"/>
  <c r="N69" i="3"/>
  <c r="P68" i="3"/>
  <c r="N68" i="3"/>
  <c r="P67" i="3"/>
  <c r="N67" i="3"/>
  <c r="P66" i="3"/>
  <c r="N66" i="3"/>
  <c r="P65" i="3"/>
  <c r="N65" i="3"/>
  <c r="P64" i="3"/>
  <c r="N64" i="3"/>
  <c r="P63" i="3"/>
  <c r="N63" i="3"/>
  <c r="P62" i="3"/>
  <c r="N62" i="3"/>
  <c r="P61" i="3"/>
  <c r="N61" i="3"/>
  <c r="P60" i="3"/>
  <c r="N60" i="3"/>
  <c r="P59" i="3"/>
  <c r="N59" i="3"/>
  <c r="P58" i="3"/>
  <c r="N58" i="3"/>
  <c r="P57" i="3"/>
  <c r="N57" i="3"/>
  <c r="P56" i="3"/>
  <c r="N56" i="3"/>
  <c r="P55" i="3"/>
  <c r="N55" i="3"/>
  <c r="P54" i="3"/>
  <c r="N54" i="3"/>
  <c r="P53" i="3"/>
  <c r="N53" i="3"/>
  <c r="P52" i="3"/>
  <c r="N52" i="3"/>
  <c r="P51" i="3"/>
  <c r="N51" i="3"/>
  <c r="P50" i="3"/>
  <c r="N50" i="3"/>
  <c r="P49" i="3"/>
  <c r="N49" i="3"/>
  <c r="P48" i="3"/>
  <c r="N48" i="3"/>
  <c r="P47" i="3"/>
  <c r="N47" i="3"/>
  <c r="D14" i="3" l="1"/>
  <c r="C20" i="3" l="1"/>
  <c r="A25" i="3"/>
  <c r="B25" i="3"/>
  <c r="A26" i="3"/>
  <c r="B26" i="3"/>
  <c r="A27" i="3"/>
  <c r="B27" i="3"/>
  <c r="A28" i="3"/>
  <c r="B28" i="3"/>
  <c r="A29" i="3"/>
  <c r="B29" i="3"/>
  <c r="A30" i="3"/>
  <c r="B30" i="3"/>
  <c r="A31" i="3"/>
  <c r="B31" i="3"/>
  <c r="A32" i="3"/>
  <c r="B32" i="3"/>
  <c r="A33" i="3"/>
  <c r="B33" i="3"/>
  <c r="A34" i="3"/>
  <c r="B34" i="3"/>
  <c r="A35" i="3"/>
  <c r="B35" i="3"/>
  <c r="A36" i="3"/>
  <c r="B36" i="3"/>
  <c r="A37" i="3"/>
  <c r="B37" i="3"/>
  <c r="A38" i="3"/>
  <c r="B38" i="3"/>
  <c r="A39" i="3"/>
  <c r="B39" i="3"/>
  <c r="A40" i="3"/>
  <c r="B40" i="3"/>
  <c r="A41" i="3"/>
  <c r="B41" i="3"/>
  <c r="A42" i="3"/>
  <c r="B42" i="3"/>
  <c r="A43" i="3"/>
  <c r="B43" i="3"/>
  <c r="A44" i="3"/>
  <c r="B44" i="3"/>
  <c r="A45" i="3"/>
  <c r="B45" i="3"/>
  <c r="A46" i="3"/>
  <c r="B46" i="3"/>
  <c r="A47" i="3"/>
  <c r="B47" i="3"/>
  <c r="A48" i="3"/>
  <c r="B48" i="3"/>
  <c r="A49" i="3"/>
  <c r="B49" i="3"/>
  <c r="A50" i="3"/>
  <c r="B50" i="3"/>
  <c r="A51" i="3"/>
  <c r="B51" i="3"/>
  <c r="A52" i="3"/>
  <c r="B52" i="3"/>
  <c r="A53" i="3"/>
  <c r="B53" i="3"/>
  <c r="A54" i="3"/>
  <c r="B54" i="3"/>
  <c r="A55" i="3"/>
  <c r="B55" i="3"/>
  <c r="A56" i="3"/>
  <c r="B56" i="3"/>
  <c r="A57" i="3"/>
  <c r="B57" i="3"/>
  <c r="A58" i="3"/>
  <c r="B58" i="3"/>
  <c r="A59" i="3"/>
  <c r="B59" i="3"/>
  <c r="A60" i="3"/>
  <c r="B60" i="3"/>
  <c r="A61" i="3"/>
  <c r="B61" i="3"/>
  <c r="A62" i="3"/>
  <c r="B62" i="3"/>
  <c r="A63" i="3"/>
  <c r="B63" i="3"/>
  <c r="A64" i="3"/>
  <c r="B64" i="3"/>
  <c r="A65" i="3"/>
  <c r="B65" i="3"/>
  <c r="A66" i="3"/>
  <c r="B66" i="3"/>
  <c r="A67" i="3"/>
  <c r="B67" i="3"/>
  <c r="A68" i="3"/>
  <c r="B68" i="3"/>
  <c r="A69" i="3"/>
  <c r="B69" i="3"/>
  <c r="A70" i="3"/>
  <c r="B70" i="3"/>
  <c r="A71" i="3"/>
  <c r="B71" i="3"/>
  <c r="A72" i="3"/>
  <c r="B72" i="3"/>
  <c r="B24" i="3"/>
  <c r="E24" i="3" s="1"/>
  <c r="D25" i="3" s="1"/>
  <c r="A24" i="3"/>
  <c r="I24" i="3" l="1"/>
  <c r="I25" i="3"/>
  <c r="E25" i="3"/>
  <c r="D26" i="3" s="1"/>
  <c r="E26" i="3" l="1"/>
  <c r="D27" i="3" s="1"/>
  <c r="I26" i="3"/>
  <c r="I27" i="3" l="1"/>
  <c r="E27" i="3"/>
  <c r="D28" i="3" s="1"/>
  <c r="I28" i="3" s="1"/>
  <c r="E28" i="3" l="1"/>
  <c r="D29" i="3" s="1"/>
  <c r="I29" i="3" s="1"/>
  <c r="E29" i="3" l="1"/>
  <c r="D30" i="3" s="1"/>
  <c r="I30" i="3" s="1"/>
  <c r="E30" i="3" l="1"/>
  <c r="D31" i="3" s="1"/>
  <c r="I31" i="3" s="1"/>
  <c r="E31" i="3" l="1"/>
  <c r="D32" i="3" s="1"/>
  <c r="I32" i="3" s="1"/>
  <c r="E32" i="3" l="1"/>
  <c r="D33" i="3" s="1"/>
  <c r="I33" i="3" s="1"/>
  <c r="E33" i="3" l="1"/>
  <c r="D34" i="3" s="1"/>
  <c r="I34" i="3" s="1"/>
  <c r="E34" i="3" l="1"/>
  <c r="D35" i="3" s="1"/>
  <c r="I35" i="3" s="1"/>
  <c r="E35" i="3" l="1"/>
  <c r="D36" i="3" s="1"/>
  <c r="I36" i="3" s="1"/>
  <c r="E36" i="3" l="1"/>
  <c r="D37" i="3" s="1"/>
  <c r="I37" i="3" s="1"/>
  <c r="E37" i="3" l="1"/>
  <c r="D38" i="3" s="1"/>
  <c r="I38" i="3" s="1"/>
  <c r="E38" i="3" l="1"/>
  <c r="D39" i="3" s="1"/>
  <c r="I39" i="3" l="1"/>
  <c r="E39" i="3"/>
  <c r="D40" i="3" s="1"/>
  <c r="I40" i="3" s="1"/>
  <c r="E40" i="3" l="1"/>
  <c r="D41" i="3" s="1"/>
  <c r="I41" i="3" s="1"/>
  <c r="E41" i="3" l="1"/>
  <c r="D42" i="3" s="1"/>
  <c r="I42" i="3" l="1"/>
  <c r="E42" i="3"/>
  <c r="D43" i="3" s="1"/>
  <c r="I43" i="3" l="1"/>
  <c r="E43" i="3"/>
  <c r="D44" i="3" s="1"/>
  <c r="I44" i="3" s="1"/>
  <c r="E44" i="3" l="1"/>
  <c r="D45" i="3" s="1"/>
  <c r="I45" i="3" s="1"/>
  <c r="E45" i="3" l="1"/>
  <c r="D46" i="3" s="1"/>
  <c r="I46" i="3" s="1"/>
  <c r="E46" i="3" l="1"/>
  <c r="D47" i="3" s="1"/>
  <c r="V73" i="3" l="1"/>
  <c r="I47" i="3"/>
  <c r="E47" i="3"/>
  <c r="D48" i="3" s="1"/>
  <c r="V75" i="3" l="1"/>
  <c r="I48" i="3"/>
  <c r="E48" i="3"/>
  <c r="D49" i="3" s="1"/>
  <c r="V76" i="3" l="1"/>
  <c r="E49" i="3"/>
  <c r="D50" i="3" s="1"/>
  <c r="I49" i="3"/>
  <c r="E50" i="3" l="1"/>
  <c r="D51" i="3" s="1"/>
  <c r="I50" i="3"/>
  <c r="E51" i="3" l="1"/>
  <c r="D52" i="3" s="1"/>
  <c r="I51" i="3"/>
  <c r="I52" i="3" l="1"/>
  <c r="E52" i="3"/>
  <c r="D53" i="3" s="1"/>
  <c r="E53" i="3" l="1"/>
  <c r="D54" i="3" s="1"/>
  <c r="I53" i="3"/>
  <c r="E54" i="3" l="1"/>
  <c r="D55" i="3" s="1"/>
  <c r="I54" i="3"/>
  <c r="E55" i="3" l="1"/>
  <c r="D56" i="3" s="1"/>
  <c r="I55" i="3"/>
  <c r="E56" i="3" l="1"/>
  <c r="D57" i="3" s="1"/>
  <c r="I56" i="3"/>
  <c r="E57" i="3" l="1"/>
  <c r="D58" i="3" s="1"/>
  <c r="I57" i="3"/>
  <c r="E58" i="3" l="1"/>
  <c r="D59" i="3" s="1"/>
  <c r="I58" i="3"/>
  <c r="E59" i="3" l="1"/>
  <c r="D60" i="3" s="1"/>
  <c r="I59" i="3"/>
  <c r="E60" i="3" l="1"/>
  <c r="D61" i="3" s="1"/>
  <c r="I60" i="3"/>
  <c r="E61" i="3" l="1"/>
  <c r="D62" i="3" s="1"/>
  <c r="I61" i="3"/>
  <c r="E62" i="3" l="1"/>
  <c r="D63" i="3" s="1"/>
  <c r="I62" i="3"/>
  <c r="E63" i="3" l="1"/>
  <c r="D64" i="3" s="1"/>
  <c r="I63" i="3"/>
  <c r="E64" i="3" l="1"/>
  <c r="D65" i="3" s="1"/>
  <c r="I64" i="3"/>
  <c r="E65" i="3" l="1"/>
  <c r="D66" i="3" s="1"/>
  <c r="I65" i="3"/>
  <c r="E66" i="3" l="1"/>
  <c r="D67" i="3" s="1"/>
  <c r="I66" i="3"/>
  <c r="E67" i="3" l="1"/>
  <c r="D68" i="3" s="1"/>
  <c r="I67" i="3"/>
  <c r="E68" i="3" l="1"/>
  <c r="D69" i="3" s="1"/>
  <c r="I68" i="3"/>
  <c r="E69" i="3" l="1"/>
  <c r="D70" i="3" s="1"/>
  <c r="I69" i="3"/>
  <c r="E70" i="3" l="1"/>
  <c r="D71" i="3" s="1"/>
  <c r="I70" i="3"/>
  <c r="E71" i="3" l="1"/>
  <c r="D72" i="3" s="1"/>
  <c r="I71" i="3"/>
  <c r="I72" i="3" l="1"/>
  <c r="J72" i="3" s="1"/>
  <c r="K72" i="3" s="1"/>
  <c r="F72" i="3"/>
  <c r="F71" i="3" s="1"/>
  <c r="E72" i="3"/>
  <c r="O72" i="3" l="1"/>
  <c r="U72" i="3"/>
  <c r="G72" i="3"/>
  <c r="J71" i="3"/>
  <c r="K71" i="3" s="1"/>
  <c r="G71" i="3"/>
  <c r="F70" i="3"/>
  <c r="GN96" i="3" l="1"/>
  <c r="GG95" i="3"/>
  <c r="FZ94" i="3"/>
  <c r="FS93" i="3"/>
  <c r="FL92" i="3"/>
  <c r="FE91" i="3"/>
  <c r="EJ88" i="3"/>
  <c r="DV86" i="3"/>
  <c r="EX90" i="3"/>
  <c r="U71" i="3"/>
  <c r="EQ89" i="3"/>
  <c r="EC87" i="3"/>
  <c r="DO85" i="3"/>
  <c r="O71" i="3"/>
  <c r="DH84" i="3"/>
  <c r="CT82" i="3"/>
  <c r="BY79" i="3"/>
  <c r="BK77" i="3"/>
  <c r="AW75" i="3"/>
  <c r="AI73" i="3"/>
  <c r="CM81" i="3"/>
  <c r="DA83" i="3"/>
  <c r="CF80" i="3"/>
  <c r="BR78" i="3"/>
  <c r="BD76" i="3"/>
  <c r="AP74" i="3"/>
  <c r="AB72" i="3"/>
  <c r="J70" i="3"/>
  <c r="J69" i="3" s="1"/>
  <c r="F69" i="3"/>
  <c r="G70" i="3"/>
  <c r="K70" i="3" l="1"/>
  <c r="F68" i="3"/>
  <c r="G69" i="3"/>
  <c r="J68" i="3"/>
  <c r="K69" i="3"/>
  <c r="HB96" i="3" l="1"/>
  <c r="GU95" i="3"/>
  <c r="GN94" i="3"/>
  <c r="GG93" i="3"/>
  <c r="FZ92" i="3"/>
  <c r="FS91" i="3"/>
  <c r="FL90" i="3"/>
  <c r="FE89" i="3"/>
  <c r="EX88" i="3"/>
  <c r="EQ87" i="3"/>
  <c r="EC85" i="3"/>
  <c r="DO83" i="3"/>
  <c r="DA81" i="3"/>
  <c r="U69" i="3"/>
  <c r="EJ86" i="3"/>
  <c r="DV84" i="3"/>
  <c r="DH82" i="3"/>
  <c r="CT80" i="3"/>
  <c r="CF78" i="3"/>
  <c r="BR76" i="3"/>
  <c r="BD74" i="3"/>
  <c r="AP72" i="3"/>
  <c r="AB70" i="3"/>
  <c r="BY77" i="3"/>
  <c r="BK75" i="3"/>
  <c r="AW73" i="3"/>
  <c r="AI71" i="3"/>
  <c r="CM79" i="3"/>
  <c r="O69" i="3"/>
  <c r="GN95" i="3"/>
  <c r="GG94" i="3"/>
  <c r="EX89" i="3"/>
  <c r="FS92" i="3"/>
  <c r="EQ88" i="3"/>
  <c r="EJ87" i="3"/>
  <c r="EC86" i="3"/>
  <c r="DV85" i="3"/>
  <c r="DO84" i="3"/>
  <c r="DH83" i="3"/>
  <c r="DA82" i="3"/>
  <c r="CT81" i="3"/>
  <c r="CM80" i="3"/>
  <c r="CF79" i="3"/>
  <c r="BY78" i="3"/>
  <c r="BR77" i="3"/>
  <c r="BK76" i="3"/>
  <c r="BD75" i="3"/>
  <c r="AW74" i="3"/>
  <c r="AP73" i="3"/>
  <c r="AI72" i="3"/>
  <c r="AB71" i="3"/>
  <c r="O70" i="3"/>
  <c r="FL91" i="3"/>
  <c r="FE90" i="3"/>
  <c r="GU96" i="3"/>
  <c r="FZ93" i="3"/>
  <c r="U70" i="3"/>
  <c r="J67" i="3"/>
  <c r="K68" i="3"/>
  <c r="F67" i="3"/>
  <c r="G68" i="3"/>
  <c r="HI96" i="3" l="1"/>
  <c r="HB95" i="3"/>
  <c r="GN93" i="3"/>
  <c r="FZ91" i="3"/>
  <c r="FL89" i="3"/>
  <c r="EX87" i="3"/>
  <c r="EQ86" i="3"/>
  <c r="EJ85" i="3"/>
  <c r="EC84" i="3"/>
  <c r="DV83" i="3"/>
  <c r="DO82" i="3"/>
  <c r="DH81" i="3"/>
  <c r="DA80" i="3"/>
  <c r="FE88" i="3"/>
  <c r="CT79" i="3"/>
  <c r="FS90" i="3"/>
  <c r="GG92" i="3"/>
  <c r="CM78" i="3"/>
  <c r="CF77" i="3"/>
  <c r="BY76" i="3"/>
  <c r="BR75" i="3"/>
  <c r="BK74" i="3"/>
  <c r="BD73" i="3"/>
  <c r="AW72" i="3"/>
  <c r="AP71" i="3"/>
  <c r="AI70" i="3"/>
  <c r="AB69" i="3"/>
  <c r="O68" i="3"/>
  <c r="GU94" i="3"/>
  <c r="U68" i="3"/>
  <c r="J66" i="3"/>
  <c r="K67" i="3"/>
  <c r="F66" i="3"/>
  <c r="G67" i="3"/>
  <c r="HI95" i="3" l="1"/>
  <c r="GU93" i="3"/>
  <c r="GN92" i="3"/>
  <c r="GG91" i="3"/>
  <c r="FZ90" i="3"/>
  <c r="FS89" i="3"/>
  <c r="HP96" i="3"/>
  <c r="HB94" i="3"/>
  <c r="FL88" i="3"/>
  <c r="FE87" i="3"/>
  <c r="CM77" i="3"/>
  <c r="EX86" i="3"/>
  <c r="EQ85" i="3"/>
  <c r="EC83" i="3"/>
  <c r="DO81" i="3"/>
  <c r="CT78" i="3"/>
  <c r="U67" i="3"/>
  <c r="EJ84" i="3"/>
  <c r="DV82" i="3"/>
  <c r="DA79" i="3"/>
  <c r="CF76" i="3"/>
  <c r="BR74" i="3"/>
  <c r="BD72" i="3"/>
  <c r="AP70" i="3"/>
  <c r="DH80" i="3"/>
  <c r="O67" i="3"/>
  <c r="BY75" i="3"/>
  <c r="BK73" i="3"/>
  <c r="AW71" i="3"/>
  <c r="AI69" i="3"/>
  <c r="AB68" i="3"/>
  <c r="F65" i="3"/>
  <c r="G66" i="3"/>
  <c r="J65" i="3"/>
  <c r="K66" i="3"/>
  <c r="HW96" i="3" l="1"/>
  <c r="HP95" i="3"/>
  <c r="HB93" i="3"/>
  <c r="GN91" i="3"/>
  <c r="GG90" i="3"/>
  <c r="FZ89" i="3"/>
  <c r="FS88" i="3"/>
  <c r="HI94" i="3"/>
  <c r="FL87" i="3"/>
  <c r="FE86" i="3"/>
  <c r="GU92" i="3"/>
  <c r="EQ84" i="3"/>
  <c r="EJ83" i="3"/>
  <c r="EC82" i="3"/>
  <c r="DV81" i="3"/>
  <c r="DO80" i="3"/>
  <c r="DH79" i="3"/>
  <c r="DA78" i="3"/>
  <c r="CT77" i="3"/>
  <c r="CM76" i="3"/>
  <c r="CF75" i="3"/>
  <c r="BY74" i="3"/>
  <c r="BR73" i="3"/>
  <c r="BK72" i="3"/>
  <c r="BD71" i="3"/>
  <c r="AW70" i="3"/>
  <c r="AP69" i="3"/>
  <c r="AI68" i="3"/>
  <c r="AB67" i="3"/>
  <c r="O66" i="3"/>
  <c r="EX85" i="3"/>
  <c r="U66" i="3"/>
  <c r="F64" i="3"/>
  <c r="G65" i="3"/>
  <c r="J64" i="3"/>
  <c r="K65" i="3"/>
  <c r="ID96" i="3" l="1"/>
  <c r="HI93" i="3"/>
  <c r="HB92" i="3"/>
  <c r="GU91" i="3"/>
  <c r="GN90" i="3"/>
  <c r="GG89" i="3"/>
  <c r="FZ88" i="3"/>
  <c r="FS87" i="3"/>
  <c r="FL86" i="3"/>
  <c r="FE85" i="3"/>
  <c r="HW95" i="3"/>
  <c r="HP94" i="3"/>
  <c r="EX84" i="3"/>
  <c r="EJ82" i="3"/>
  <c r="DV80" i="3"/>
  <c r="DH78" i="3"/>
  <c r="CM75" i="3"/>
  <c r="U65" i="3"/>
  <c r="EQ83" i="3"/>
  <c r="EC81" i="3"/>
  <c r="DO79" i="3"/>
  <c r="DA77" i="3"/>
  <c r="CT76" i="3"/>
  <c r="BY73" i="3"/>
  <c r="BK71" i="3"/>
  <c r="AW69" i="3"/>
  <c r="AI67" i="3"/>
  <c r="CF74" i="3"/>
  <c r="BR72" i="3"/>
  <c r="BD70" i="3"/>
  <c r="AP68" i="3"/>
  <c r="AB66" i="3"/>
  <c r="O65" i="3"/>
  <c r="F63" i="3"/>
  <c r="G64" i="3"/>
  <c r="J63" i="3"/>
  <c r="K64" i="3"/>
  <c r="IK96" i="3" l="1"/>
  <c r="HW94" i="3"/>
  <c r="HP93" i="3"/>
  <c r="HI92" i="3"/>
  <c r="ID95" i="3"/>
  <c r="HB91" i="3"/>
  <c r="GU90" i="3"/>
  <c r="GN89" i="3"/>
  <c r="GG88" i="3"/>
  <c r="FZ87" i="3"/>
  <c r="FS86" i="3"/>
  <c r="FL85" i="3"/>
  <c r="FE84" i="3"/>
  <c r="EQ82" i="3"/>
  <c r="EJ81" i="3"/>
  <c r="EC80" i="3"/>
  <c r="DV79" i="3"/>
  <c r="DO78" i="3"/>
  <c r="DH77" i="3"/>
  <c r="DA76" i="3"/>
  <c r="EX83" i="3"/>
  <c r="CF73" i="3"/>
  <c r="BY72" i="3"/>
  <c r="BR71" i="3"/>
  <c r="BK70" i="3"/>
  <c r="BD69" i="3"/>
  <c r="AW68" i="3"/>
  <c r="AP67" i="3"/>
  <c r="AI66" i="3"/>
  <c r="AB65" i="3"/>
  <c r="O64" i="3"/>
  <c r="CM74" i="3"/>
  <c r="CT75" i="3"/>
  <c r="U64" i="3"/>
  <c r="F62" i="3"/>
  <c r="G63" i="3"/>
  <c r="J62" i="3"/>
  <c r="K63" i="3"/>
  <c r="IR96" i="3" l="1"/>
  <c r="ID94" i="3"/>
  <c r="HI91" i="3"/>
  <c r="HW93" i="3"/>
  <c r="HP92" i="3"/>
  <c r="GU89" i="3"/>
  <c r="GN88" i="3"/>
  <c r="GG87" i="3"/>
  <c r="FZ86" i="3"/>
  <c r="FS85" i="3"/>
  <c r="HB90" i="3"/>
  <c r="IK95" i="3"/>
  <c r="FL84" i="3"/>
  <c r="EX82" i="3"/>
  <c r="EJ80" i="3"/>
  <c r="DV78" i="3"/>
  <c r="FE83" i="3"/>
  <c r="EQ81" i="3"/>
  <c r="EC79" i="3"/>
  <c r="DO77" i="3"/>
  <c r="O63" i="3"/>
  <c r="DA75" i="3"/>
  <c r="CM73" i="3"/>
  <c r="BY71" i="3"/>
  <c r="BK69" i="3"/>
  <c r="AW67" i="3"/>
  <c r="AI65" i="3"/>
  <c r="CT74" i="3"/>
  <c r="U63" i="3"/>
  <c r="DH76" i="3"/>
  <c r="CF72" i="3"/>
  <c r="BR70" i="3"/>
  <c r="BD68" i="3"/>
  <c r="AP66" i="3"/>
  <c r="AB64" i="3"/>
  <c r="J61" i="3"/>
  <c r="K62" i="3"/>
  <c r="F61" i="3"/>
  <c r="G62" i="3"/>
  <c r="HW92" i="3" l="1"/>
  <c r="HP91" i="3"/>
  <c r="IY96" i="3"/>
  <c r="IR95" i="3"/>
  <c r="HI90" i="3"/>
  <c r="HB89" i="3"/>
  <c r="ID93" i="3"/>
  <c r="FL83" i="3"/>
  <c r="FS84" i="3"/>
  <c r="GN87" i="3"/>
  <c r="GG86" i="3"/>
  <c r="FE82" i="3"/>
  <c r="EX81" i="3"/>
  <c r="EQ80" i="3"/>
  <c r="EJ79" i="3"/>
  <c r="EC78" i="3"/>
  <c r="DV77" i="3"/>
  <c r="DO76" i="3"/>
  <c r="DH75" i="3"/>
  <c r="DA74" i="3"/>
  <c r="CT73" i="3"/>
  <c r="CM72" i="3"/>
  <c r="IK94" i="3"/>
  <c r="CF71" i="3"/>
  <c r="BY70" i="3"/>
  <c r="BR69" i="3"/>
  <c r="BK68" i="3"/>
  <c r="BD67" i="3"/>
  <c r="AW66" i="3"/>
  <c r="AP65" i="3"/>
  <c r="AI64" i="3"/>
  <c r="AB63" i="3"/>
  <c r="O62" i="3"/>
  <c r="GU88" i="3"/>
  <c r="U62" i="3"/>
  <c r="FZ85" i="3"/>
  <c r="J60" i="3"/>
  <c r="K61" i="3"/>
  <c r="F60" i="3"/>
  <c r="G61" i="3"/>
  <c r="JF96" i="3" l="1"/>
  <c r="IK93" i="3"/>
  <c r="ID92" i="3"/>
  <c r="IR94" i="3"/>
  <c r="HB88" i="3"/>
  <c r="IY95" i="3"/>
  <c r="GU87" i="3"/>
  <c r="GN86" i="3"/>
  <c r="GG85" i="3"/>
  <c r="FZ84" i="3"/>
  <c r="FS83" i="3"/>
  <c r="FL82" i="3"/>
  <c r="FE81" i="3"/>
  <c r="HW91" i="3"/>
  <c r="HP90" i="3"/>
  <c r="EX80" i="3"/>
  <c r="HI89" i="3"/>
  <c r="EQ79" i="3"/>
  <c r="EC77" i="3"/>
  <c r="DO75" i="3"/>
  <c r="DA73" i="3"/>
  <c r="EJ78" i="3"/>
  <c r="DV76" i="3"/>
  <c r="DH74" i="3"/>
  <c r="CF70" i="3"/>
  <c r="BR68" i="3"/>
  <c r="BD66" i="3"/>
  <c r="AP64" i="3"/>
  <c r="AB62" i="3"/>
  <c r="CM71" i="3"/>
  <c r="BY69" i="3"/>
  <c r="BK67" i="3"/>
  <c r="AW65" i="3"/>
  <c r="AI63" i="3"/>
  <c r="CT72" i="3"/>
  <c r="O61" i="3"/>
  <c r="U61" i="3"/>
  <c r="F59" i="3"/>
  <c r="G60" i="3"/>
  <c r="J59" i="3"/>
  <c r="K60" i="3"/>
  <c r="IY94" i="3" l="1"/>
  <c r="IR93" i="3"/>
  <c r="JM96" i="3"/>
  <c r="HW90" i="3"/>
  <c r="HP89" i="3"/>
  <c r="JF95" i="3"/>
  <c r="IK92" i="3"/>
  <c r="ID91" i="3"/>
  <c r="HB87" i="3"/>
  <c r="FL81" i="3"/>
  <c r="GU86" i="3"/>
  <c r="HI88" i="3"/>
  <c r="GN85" i="3"/>
  <c r="FE80" i="3"/>
  <c r="EQ78" i="3"/>
  <c r="EJ77" i="3"/>
  <c r="EC76" i="3"/>
  <c r="DV75" i="3"/>
  <c r="DO74" i="3"/>
  <c r="DH73" i="3"/>
  <c r="DA72" i="3"/>
  <c r="FZ83" i="3"/>
  <c r="EX79" i="3"/>
  <c r="U60" i="3"/>
  <c r="FS82" i="3"/>
  <c r="CT71" i="3"/>
  <c r="CM70" i="3"/>
  <c r="CF69" i="3"/>
  <c r="BY68" i="3"/>
  <c r="BR67" i="3"/>
  <c r="BK66" i="3"/>
  <c r="BD65" i="3"/>
  <c r="AW64" i="3"/>
  <c r="AP63" i="3"/>
  <c r="AI62" i="3"/>
  <c r="AB61" i="3"/>
  <c r="O60" i="3"/>
  <c r="GG84" i="3"/>
  <c r="F58" i="3"/>
  <c r="G59" i="3"/>
  <c r="J58" i="3"/>
  <c r="K59" i="3"/>
  <c r="JM95" i="3" l="1"/>
  <c r="JF94" i="3"/>
  <c r="JT96" i="3"/>
  <c r="IY93" i="3"/>
  <c r="IR92" i="3"/>
  <c r="IK91" i="3"/>
  <c r="ID90" i="3"/>
  <c r="HI87" i="3"/>
  <c r="GU85" i="3"/>
  <c r="GN84" i="3"/>
  <c r="GG83" i="3"/>
  <c r="FZ82" i="3"/>
  <c r="FS81" i="3"/>
  <c r="HW89" i="3"/>
  <c r="HP88" i="3"/>
  <c r="FL80" i="3"/>
  <c r="FE79" i="3"/>
  <c r="EX78" i="3"/>
  <c r="CT70" i="3"/>
  <c r="HB86" i="3"/>
  <c r="EQ77" i="3"/>
  <c r="EC75" i="3"/>
  <c r="EJ76" i="3"/>
  <c r="DV74" i="3"/>
  <c r="DH72" i="3"/>
  <c r="U59" i="3"/>
  <c r="CF68" i="3"/>
  <c r="BR66" i="3"/>
  <c r="BD64" i="3"/>
  <c r="AP62" i="3"/>
  <c r="DO73" i="3"/>
  <c r="DA71" i="3"/>
  <c r="O59" i="3"/>
  <c r="CM69" i="3"/>
  <c r="BY67" i="3"/>
  <c r="BK65" i="3"/>
  <c r="AW63" i="3"/>
  <c r="AI61" i="3"/>
  <c r="AB60" i="3"/>
  <c r="F57" i="3"/>
  <c r="G58" i="3"/>
  <c r="J57" i="3"/>
  <c r="K58" i="3"/>
  <c r="JT95" i="3" l="1"/>
  <c r="KA96" i="3"/>
  <c r="JF93" i="3"/>
  <c r="JM94" i="3"/>
  <c r="IR91" i="3"/>
  <c r="IK90" i="3"/>
  <c r="HW88" i="3"/>
  <c r="HP87" i="3"/>
  <c r="ID89" i="3"/>
  <c r="GN83" i="3"/>
  <c r="GG82" i="3"/>
  <c r="FZ81" i="3"/>
  <c r="FS80" i="3"/>
  <c r="HI86" i="3"/>
  <c r="IY92" i="3"/>
  <c r="HB85" i="3"/>
  <c r="FE78" i="3"/>
  <c r="GU84" i="3"/>
  <c r="FL79" i="3"/>
  <c r="EQ76" i="3"/>
  <c r="EJ75" i="3"/>
  <c r="EC74" i="3"/>
  <c r="DV73" i="3"/>
  <c r="DO72" i="3"/>
  <c r="DH71" i="3"/>
  <c r="DA70" i="3"/>
  <c r="CT69" i="3"/>
  <c r="EX77" i="3"/>
  <c r="CM68" i="3"/>
  <c r="CF67" i="3"/>
  <c r="BY66" i="3"/>
  <c r="BR65" i="3"/>
  <c r="BK64" i="3"/>
  <c r="BD63" i="3"/>
  <c r="AW62" i="3"/>
  <c r="AP61" i="3"/>
  <c r="AI60" i="3"/>
  <c r="AB59" i="3"/>
  <c r="O58" i="3"/>
  <c r="U58" i="3"/>
  <c r="F56" i="3"/>
  <c r="G57" i="3"/>
  <c r="J56" i="3"/>
  <c r="K57" i="3"/>
  <c r="KA95" i="3" l="1"/>
  <c r="JF92" i="3"/>
  <c r="IK89" i="3"/>
  <c r="KH96" i="3"/>
  <c r="IY91" i="3"/>
  <c r="IR90" i="3"/>
  <c r="ID88" i="3"/>
  <c r="JM93" i="3"/>
  <c r="HB84" i="3"/>
  <c r="HI85" i="3"/>
  <c r="GU83" i="3"/>
  <c r="GN82" i="3"/>
  <c r="GG81" i="3"/>
  <c r="FZ80" i="3"/>
  <c r="FS79" i="3"/>
  <c r="FL78" i="3"/>
  <c r="FE77" i="3"/>
  <c r="JT94" i="3"/>
  <c r="EX76" i="3"/>
  <c r="HW87" i="3"/>
  <c r="EJ74" i="3"/>
  <c r="DV72" i="3"/>
  <c r="DH70" i="3"/>
  <c r="CT68" i="3"/>
  <c r="HP86" i="3"/>
  <c r="EQ75" i="3"/>
  <c r="EC73" i="3"/>
  <c r="DO71" i="3"/>
  <c r="DA69" i="3"/>
  <c r="U57" i="3"/>
  <c r="CM67" i="3"/>
  <c r="BY65" i="3"/>
  <c r="BK63" i="3"/>
  <c r="AW61" i="3"/>
  <c r="AI59" i="3"/>
  <c r="CF66" i="3"/>
  <c r="BR64" i="3"/>
  <c r="BD62" i="3"/>
  <c r="AP60" i="3"/>
  <c r="AB58" i="3"/>
  <c r="O57" i="3"/>
  <c r="F55" i="3"/>
  <c r="G56" i="3"/>
  <c r="J55" i="3"/>
  <c r="K56" i="3"/>
  <c r="KO96" i="3" l="1"/>
  <c r="KH95" i="3"/>
  <c r="IY90" i="3"/>
  <c r="IR89" i="3"/>
  <c r="KA94" i="3"/>
  <c r="JF91" i="3"/>
  <c r="JT93" i="3"/>
  <c r="HW86" i="3"/>
  <c r="HP85" i="3"/>
  <c r="JM92" i="3"/>
  <c r="IK88" i="3"/>
  <c r="HB83" i="3"/>
  <c r="ID87" i="3"/>
  <c r="HI84" i="3"/>
  <c r="GU82" i="3"/>
  <c r="GN81" i="3"/>
  <c r="GG80" i="3"/>
  <c r="FZ79" i="3"/>
  <c r="FS78" i="3"/>
  <c r="EQ74" i="3"/>
  <c r="EJ73" i="3"/>
  <c r="EC72" i="3"/>
  <c r="DV71" i="3"/>
  <c r="DO70" i="3"/>
  <c r="DH69" i="3"/>
  <c r="DA68" i="3"/>
  <c r="FL77" i="3"/>
  <c r="FE76" i="3"/>
  <c r="EX75" i="3"/>
  <c r="CM66" i="3"/>
  <c r="CF65" i="3"/>
  <c r="BY64" i="3"/>
  <c r="BR63" i="3"/>
  <c r="BK62" i="3"/>
  <c r="BD61" i="3"/>
  <c r="AW60" i="3"/>
  <c r="AP59" i="3"/>
  <c r="AI58" i="3"/>
  <c r="AB57" i="3"/>
  <c r="O56" i="3"/>
  <c r="CT67" i="3"/>
  <c r="U56" i="3"/>
  <c r="F54" i="3"/>
  <c r="G55" i="3"/>
  <c r="J54" i="3"/>
  <c r="K55" i="3"/>
  <c r="KA93" i="3" l="1"/>
  <c r="KV96" i="3"/>
  <c r="JM91" i="3"/>
  <c r="KH94" i="3"/>
  <c r="JT92" i="3"/>
  <c r="IY89" i="3"/>
  <c r="JF90" i="3"/>
  <c r="IR88" i="3"/>
  <c r="ID86" i="3"/>
  <c r="HI83" i="3"/>
  <c r="KO95" i="3"/>
  <c r="HW85" i="3"/>
  <c r="HP84" i="3"/>
  <c r="GU81" i="3"/>
  <c r="GN80" i="3"/>
  <c r="GG79" i="3"/>
  <c r="FZ78" i="3"/>
  <c r="FS77" i="3"/>
  <c r="IK87" i="3"/>
  <c r="FL76" i="3"/>
  <c r="HB82" i="3"/>
  <c r="FE75" i="3"/>
  <c r="U55" i="3"/>
  <c r="EX74" i="3"/>
  <c r="EJ72" i="3"/>
  <c r="DV70" i="3"/>
  <c r="EQ73" i="3"/>
  <c r="EC71" i="3"/>
  <c r="DO69" i="3"/>
  <c r="O55" i="3"/>
  <c r="DH68" i="3"/>
  <c r="CT66" i="3"/>
  <c r="CM65" i="3"/>
  <c r="BY63" i="3"/>
  <c r="BK61" i="3"/>
  <c r="AW59" i="3"/>
  <c r="DA67" i="3"/>
  <c r="CF64" i="3"/>
  <c r="BR62" i="3"/>
  <c r="BD60" i="3"/>
  <c r="AP58" i="3"/>
  <c r="AB56" i="3"/>
  <c r="AI57" i="3"/>
  <c r="F53" i="3"/>
  <c r="G54" i="3"/>
  <c r="J53" i="3"/>
  <c r="K54" i="3"/>
  <c r="LC96" i="3" l="1"/>
  <c r="KO94" i="3"/>
  <c r="KV95" i="3"/>
  <c r="KH93" i="3"/>
  <c r="JT91" i="3"/>
  <c r="KA92" i="3"/>
  <c r="JF89" i="3"/>
  <c r="IY88" i="3"/>
  <c r="HW84" i="3"/>
  <c r="HP83" i="3"/>
  <c r="JM90" i="3"/>
  <c r="IK86" i="3"/>
  <c r="HI82" i="3"/>
  <c r="HB81" i="3"/>
  <c r="IR87" i="3"/>
  <c r="GU80" i="3"/>
  <c r="GG78" i="3"/>
  <c r="FE74" i="3"/>
  <c r="FS76" i="3"/>
  <c r="EX73" i="3"/>
  <c r="EQ72" i="3"/>
  <c r="EJ71" i="3"/>
  <c r="EC70" i="3"/>
  <c r="DV69" i="3"/>
  <c r="DO68" i="3"/>
  <c r="DH67" i="3"/>
  <c r="DA66" i="3"/>
  <c r="CT65" i="3"/>
  <c r="FZ77" i="3"/>
  <c r="FL75" i="3"/>
  <c r="CM64" i="3"/>
  <c r="CF63" i="3"/>
  <c r="BY62" i="3"/>
  <c r="BR61" i="3"/>
  <c r="BK60" i="3"/>
  <c r="BD59" i="3"/>
  <c r="AW58" i="3"/>
  <c r="AP57" i="3"/>
  <c r="AI56" i="3"/>
  <c r="AB55" i="3"/>
  <c r="O54" i="3"/>
  <c r="U54" i="3"/>
  <c r="GN79" i="3"/>
  <c r="ID85" i="3"/>
  <c r="F52" i="3"/>
  <c r="G53" i="3"/>
  <c r="J52" i="3"/>
  <c r="K53" i="3"/>
  <c r="LJ96" i="3" l="1"/>
  <c r="LC95" i="3"/>
  <c r="KV94" i="3"/>
  <c r="JF88" i="3"/>
  <c r="IK85" i="3"/>
  <c r="KO93" i="3"/>
  <c r="KH92" i="3"/>
  <c r="JT90" i="3"/>
  <c r="JM89" i="3"/>
  <c r="KA91" i="3"/>
  <c r="IR86" i="3"/>
  <c r="ID84" i="3"/>
  <c r="IY87" i="3"/>
  <c r="GU79" i="3"/>
  <c r="GN78" i="3"/>
  <c r="GG77" i="3"/>
  <c r="FZ76" i="3"/>
  <c r="FS75" i="3"/>
  <c r="FL74" i="3"/>
  <c r="FE73" i="3"/>
  <c r="HP82" i="3"/>
  <c r="HI81" i="3"/>
  <c r="HB80" i="3"/>
  <c r="EQ71" i="3"/>
  <c r="EC69" i="3"/>
  <c r="DO67" i="3"/>
  <c r="DA65" i="3"/>
  <c r="HW83" i="3"/>
  <c r="EX72" i="3"/>
  <c r="EJ70" i="3"/>
  <c r="DV68" i="3"/>
  <c r="DH66" i="3"/>
  <c r="CF62" i="3"/>
  <c r="BR60" i="3"/>
  <c r="BD58" i="3"/>
  <c r="AP56" i="3"/>
  <c r="AB54" i="3"/>
  <c r="O53" i="3"/>
  <c r="CT64" i="3"/>
  <c r="CM63" i="3"/>
  <c r="BY61" i="3"/>
  <c r="BK59" i="3"/>
  <c r="AW57" i="3"/>
  <c r="AI55" i="3"/>
  <c r="U53" i="3"/>
  <c r="F51" i="3"/>
  <c r="G52" i="3"/>
  <c r="J51" i="3"/>
  <c r="K52" i="3"/>
  <c r="LC94" i="3" l="1"/>
  <c r="LQ96" i="3"/>
  <c r="KH91" i="3"/>
  <c r="IY86" i="3"/>
  <c r="IR85" i="3"/>
  <c r="KO92" i="3"/>
  <c r="KA90" i="3"/>
  <c r="JM88" i="3"/>
  <c r="KV93" i="3"/>
  <c r="LJ95" i="3"/>
  <c r="HW82" i="3"/>
  <c r="HP81" i="3"/>
  <c r="JT89" i="3"/>
  <c r="ID83" i="3"/>
  <c r="HB79" i="3"/>
  <c r="IK84" i="3"/>
  <c r="JF87" i="3"/>
  <c r="HI80" i="3"/>
  <c r="GU78" i="3"/>
  <c r="FZ75" i="3"/>
  <c r="EX71" i="3"/>
  <c r="EQ70" i="3"/>
  <c r="EJ69" i="3"/>
  <c r="EC68" i="3"/>
  <c r="DV67" i="3"/>
  <c r="DO66" i="3"/>
  <c r="DH65" i="3"/>
  <c r="DA64" i="3"/>
  <c r="GN77" i="3"/>
  <c r="FL73" i="3"/>
  <c r="GG76" i="3"/>
  <c r="FS74" i="3"/>
  <c r="FE72" i="3"/>
  <c r="CT63" i="3"/>
  <c r="CM62" i="3"/>
  <c r="CF61" i="3"/>
  <c r="BY60" i="3"/>
  <c r="BR59" i="3"/>
  <c r="BK58" i="3"/>
  <c r="BD57" i="3"/>
  <c r="AW56" i="3"/>
  <c r="AP55" i="3"/>
  <c r="AI54" i="3"/>
  <c r="AB53" i="3"/>
  <c r="O52" i="3"/>
  <c r="U52" i="3"/>
  <c r="F50" i="3"/>
  <c r="G51" i="3"/>
  <c r="J50" i="3"/>
  <c r="K51" i="3"/>
  <c r="LJ94" i="3" l="1"/>
  <c r="LQ95" i="3"/>
  <c r="KV92" i="3"/>
  <c r="LX96" i="3"/>
  <c r="KO91" i="3"/>
  <c r="JM87" i="3"/>
  <c r="JF86" i="3"/>
  <c r="KH90" i="3"/>
  <c r="KA89" i="3"/>
  <c r="LC93" i="3"/>
  <c r="IK83" i="3"/>
  <c r="ID82" i="3"/>
  <c r="HI79" i="3"/>
  <c r="JT88" i="3"/>
  <c r="GU77" i="3"/>
  <c r="GN76" i="3"/>
  <c r="GG75" i="3"/>
  <c r="FZ74" i="3"/>
  <c r="HW81" i="3"/>
  <c r="HP80" i="3"/>
  <c r="IY85" i="3"/>
  <c r="IR84" i="3"/>
  <c r="FL72" i="3"/>
  <c r="HB78" i="3"/>
  <c r="EQ69" i="3"/>
  <c r="EC67" i="3"/>
  <c r="CT62" i="3"/>
  <c r="FS73" i="3"/>
  <c r="FE71" i="3"/>
  <c r="EX70" i="3"/>
  <c r="EJ68" i="3"/>
  <c r="DV66" i="3"/>
  <c r="DA63" i="3"/>
  <c r="CF60" i="3"/>
  <c r="BR58" i="3"/>
  <c r="BD56" i="3"/>
  <c r="AB52" i="3"/>
  <c r="U51" i="3"/>
  <c r="DH64" i="3"/>
  <c r="O51" i="3"/>
  <c r="DO65" i="3"/>
  <c r="CM61" i="3"/>
  <c r="BY59" i="3"/>
  <c r="BK57" i="3"/>
  <c r="AW55" i="3"/>
  <c r="AI53" i="3"/>
  <c r="AP54" i="3"/>
  <c r="F49" i="3"/>
  <c r="G50" i="3"/>
  <c r="J49" i="3"/>
  <c r="K50" i="3"/>
  <c r="LC92" i="3" l="1"/>
  <c r="ME96" i="3"/>
  <c r="LX95" i="3"/>
  <c r="LJ93" i="3"/>
  <c r="KO90" i="3"/>
  <c r="LQ94" i="3"/>
  <c r="KA88" i="3"/>
  <c r="JT87" i="3"/>
  <c r="JM86" i="3"/>
  <c r="JF85" i="3"/>
  <c r="IY84" i="3"/>
  <c r="IR83" i="3"/>
  <c r="KV91" i="3"/>
  <c r="KH89" i="3"/>
  <c r="HW80" i="3"/>
  <c r="HP79" i="3"/>
  <c r="IK82" i="3"/>
  <c r="HB77" i="3"/>
  <c r="GN75" i="3"/>
  <c r="GG74" i="3"/>
  <c r="FZ73" i="3"/>
  <c r="ID81" i="3"/>
  <c r="HI78" i="3"/>
  <c r="GU76" i="3"/>
  <c r="FS72" i="3"/>
  <c r="FL71" i="3"/>
  <c r="FE70" i="3"/>
  <c r="EX69" i="3"/>
  <c r="EQ68" i="3"/>
  <c r="EJ67" i="3"/>
  <c r="EC66" i="3"/>
  <c r="DV65" i="3"/>
  <c r="DO64" i="3"/>
  <c r="DH63" i="3"/>
  <c r="DA62" i="3"/>
  <c r="CT61" i="3"/>
  <c r="CM60" i="3"/>
  <c r="CF59" i="3"/>
  <c r="BY58" i="3"/>
  <c r="BR57" i="3"/>
  <c r="BK56" i="3"/>
  <c r="BD55" i="3"/>
  <c r="AW54" i="3"/>
  <c r="AP53" i="3"/>
  <c r="AI52" i="3"/>
  <c r="AB51" i="3"/>
  <c r="O50" i="3"/>
  <c r="U50" i="3"/>
  <c r="F48" i="3"/>
  <c r="G49" i="3"/>
  <c r="J48" i="3"/>
  <c r="K49" i="3"/>
  <c r="ML96" i="3" l="1"/>
  <c r="LQ93" i="3"/>
  <c r="LJ92" i="3"/>
  <c r="KV90" i="3"/>
  <c r="ME95" i="3"/>
  <c r="KO89" i="3"/>
  <c r="JF84" i="3"/>
  <c r="KH88" i="3"/>
  <c r="KA87" i="3"/>
  <c r="JT86" i="3"/>
  <c r="ID80" i="3"/>
  <c r="LC91" i="3"/>
  <c r="IR82" i="3"/>
  <c r="IK81" i="3"/>
  <c r="LX94" i="3"/>
  <c r="HI77" i="3"/>
  <c r="GU75" i="3"/>
  <c r="GN74" i="3"/>
  <c r="GG73" i="3"/>
  <c r="FZ72" i="3"/>
  <c r="FS71" i="3"/>
  <c r="FL70" i="3"/>
  <c r="FE69" i="3"/>
  <c r="HW79" i="3"/>
  <c r="IY83" i="3"/>
  <c r="HP78" i="3"/>
  <c r="HB76" i="3"/>
  <c r="EX68" i="3"/>
  <c r="EJ66" i="3"/>
  <c r="DV64" i="3"/>
  <c r="DH62" i="3"/>
  <c r="JM85" i="3"/>
  <c r="EQ67" i="3"/>
  <c r="EC65" i="3"/>
  <c r="DO63" i="3"/>
  <c r="DA61" i="3"/>
  <c r="CT60" i="3"/>
  <c r="CM59" i="3"/>
  <c r="BY57" i="3"/>
  <c r="BK55" i="3"/>
  <c r="AW53" i="3"/>
  <c r="AI51" i="3"/>
  <c r="U49" i="3"/>
  <c r="CF58" i="3"/>
  <c r="BR56" i="3"/>
  <c r="BD54" i="3"/>
  <c r="AP52" i="3"/>
  <c r="AB50" i="3"/>
  <c r="O49" i="3"/>
  <c r="F47" i="3"/>
  <c r="G48" i="3"/>
  <c r="J47" i="3"/>
  <c r="K48" i="3"/>
  <c r="ME94" i="3" l="1"/>
  <c r="LX93" i="3"/>
  <c r="LC90" i="3"/>
  <c r="LQ92" i="3"/>
  <c r="ML95" i="3"/>
  <c r="KH87" i="3"/>
  <c r="IY82" i="3"/>
  <c r="IR81" i="3"/>
  <c r="LJ91" i="3"/>
  <c r="JT85" i="3"/>
  <c r="MS96" i="3"/>
  <c r="KV89" i="3"/>
  <c r="JF83" i="3"/>
  <c r="HW78" i="3"/>
  <c r="HP77" i="3"/>
  <c r="KA86" i="3"/>
  <c r="HI76" i="3"/>
  <c r="HB75" i="3"/>
  <c r="ID79" i="3"/>
  <c r="KO88" i="3"/>
  <c r="IK80" i="3"/>
  <c r="GU74" i="3"/>
  <c r="JM84" i="3"/>
  <c r="GN73" i="3"/>
  <c r="GG72" i="3"/>
  <c r="FZ71" i="3"/>
  <c r="FS70" i="3"/>
  <c r="FL69" i="3"/>
  <c r="FE68" i="3"/>
  <c r="EX67" i="3"/>
  <c r="EQ66" i="3"/>
  <c r="EJ65" i="3"/>
  <c r="EC64" i="3"/>
  <c r="DV63" i="3"/>
  <c r="DO62" i="3"/>
  <c r="DH61" i="3"/>
  <c r="DA60" i="3"/>
  <c r="CM58" i="3"/>
  <c r="CF57" i="3"/>
  <c r="BY56" i="3"/>
  <c r="BR55" i="3"/>
  <c r="BK54" i="3"/>
  <c r="BD53" i="3"/>
  <c r="AW52" i="3"/>
  <c r="AP51" i="3"/>
  <c r="AI50" i="3"/>
  <c r="AB49" i="3"/>
  <c r="O48" i="3"/>
  <c r="CT59" i="3"/>
  <c r="U48" i="3"/>
  <c r="F46" i="3"/>
  <c r="G47" i="3"/>
  <c r="J46" i="3"/>
  <c r="K47" i="3"/>
  <c r="MS95" i="3" l="1"/>
  <c r="NH95" i="3" s="1"/>
  <c r="MG46" i="3"/>
  <c r="LL46" i="3"/>
  <c r="LJ90" i="3"/>
  <c r="NH90" i="3" s="1"/>
  <c r="MN46" i="3"/>
  <c r="ML94" i="3"/>
  <c r="NH94" i="3" s="1"/>
  <c r="LQ91" i="3"/>
  <c r="NH91" i="3" s="1"/>
  <c r="LE46" i="3"/>
  <c r="ME93" i="3"/>
  <c r="NH93" i="3" s="1"/>
  <c r="LZ46" i="3"/>
  <c r="LX92" i="3"/>
  <c r="NH92" i="3" s="1"/>
  <c r="LS46" i="3"/>
  <c r="KV88" i="3"/>
  <c r="NH88" i="3" s="1"/>
  <c r="KQ46" i="3"/>
  <c r="LC89" i="3"/>
  <c r="NH89" i="3" s="1"/>
  <c r="JM83" i="3"/>
  <c r="NH83" i="3" s="1"/>
  <c r="JA46" i="3"/>
  <c r="MU46" i="3"/>
  <c r="KO87" i="3"/>
  <c r="NH87" i="3" s="1"/>
  <c r="KJ46" i="3"/>
  <c r="JO46" i="3"/>
  <c r="MZ96" i="3"/>
  <c r="NH96" i="3" s="1"/>
  <c r="KC46" i="3"/>
  <c r="JT84" i="3"/>
  <c r="NH84" i="3" s="1"/>
  <c r="JH46" i="3"/>
  <c r="IK79" i="3"/>
  <c r="NH79" i="3" s="1"/>
  <c r="HY46" i="3"/>
  <c r="KH86" i="3"/>
  <c r="NH86" i="3" s="1"/>
  <c r="KA85" i="3"/>
  <c r="NH85" i="3" s="1"/>
  <c r="JV46" i="3"/>
  <c r="IR80" i="3"/>
  <c r="NH80" i="3" s="1"/>
  <c r="IM46" i="3"/>
  <c r="IF46" i="3"/>
  <c r="ID78" i="3"/>
  <c r="NH78" i="3" s="1"/>
  <c r="HI75" i="3"/>
  <c r="NH75" i="3" s="1"/>
  <c r="KX46" i="3"/>
  <c r="JF82" i="3"/>
  <c r="NH82" i="3" s="1"/>
  <c r="IY81" i="3"/>
  <c r="NH81" i="3" s="1"/>
  <c r="HW77" i="3"/>
  <c r="NH77" i="3" s="1"/>
  <c r="HR46" i="3"/>
  <c r="HP76" i="3"/>
  <c r="NH76" i="3" s="1"/>
  <c r="HK46" i="3"/>
  <c r="GU73" i="3"/>
  <c r="NH73" i="3" s="1"/>
  <c r="GN72" i="3"/>
  <c r="NH72" i="3" s="1"/>
  <c r="GG71" i="3"/>
  <c r="NH71" i="3" s="1"/>
  <c r="FZ70" i="3"/>
  <c r="NH70" i="3" s="1"/>
  <c r="IT46" i="3"/>
  <c r="GP46" i="3"/>
  <c r="GI46" i="3"/>
  <c r="GB46" i="3"/>
  <c r="FU46" i="3"/>
  <c r="FN46" i="3"/>
  <c r="FG46" i="3"/>
  <c r="EZ46" i="3"/>
  <c r="GW46" i="3"/>
  <c r="HB74" i="3"/>
  <c r="NH74" i="3" s="1"/>
  <c r="FL68" i="3"/>
  <c r="NH68" i="3" s="1"/>
  <c r="FE67" i="3"/>
  <c r="NH67" i="3" s="1"/>
  <c r="U47" i="3"/>
  <c r="NH47" i="3" s="1"/>
  <c r="HD46" i="3"/>
  <c r="EX66" i="3"/>
  <c r="NH66" i="3" s="1"/>
  <c r="ES46" i="3"/>
  <c r="EJ64" i="3"/>
  <c r="NH64" i="3" s="1"/>
  <c r="EE46" i="3"/>
  <c r="DV62" i="3"/>
  <c r="NH62" i="3" s="1"/>
  <c r="DQ46" i="3"/>
  <c r="FS69" i="3"/>
  <c r="NH69" i="3" s="1"/>
  <c r="EQ65" i="3"/>
  <c r="NH65" i="3" s="1"/>
  <c r="EL46" i="3"/>
  <c r="EC63" i="3"/>
  <c r="NH63" i="3" s="1"/>
  <c r="DX46" i="3"/>
  <c r="DO61" i="3"/>
  <c r="NH61" i="3" s="1"/>
  <c r="CT58" i="3"/>
  <c r="NH58" i="3" s="1"/>
  <c r="CO46" i="3"/>
  <c r="O47" i="3"/>
  <c r="DC46" i="3"/>
  <c r="DA59" i="3"/>
  <c r="NH59" i="3" s="1"/>
  <c r="CM57" i="3"/>
  <c r="NH57" i="3" s="1"/>
  <c r="CH46" i="3"/>
  <c r="BY55" i="3"/>
  <c r="NH55" i="3" s="1"/>
  <c r="BT46" i="3"/>
  <c r="BK53" i="3"/>
  <c r="NH53" i="3" s="1"/>
  <c r="BF46" i="3"/>
  <c r="AW51" i="3"/>
  <c r="NH51" i="3" s="1"/>
  <c r="AR46" i="3"/>
  <c r="AI49" i="3"/>
  <c r="NH49" i="3" s="1"/>
  <c r="DJ46" i="3"/>
  <c r="DH60" i="3"/>
  <c r="NH60" i="3" s="1"/>
  <c r="CV46" i="3"/>
  <c r="CF56" i="3"/>
  <c r="NH56" i="3" s="1"/>
  <c r="CA46" i="3"/>
  <c r="BR54" i="3"/>
  <c r="NH54" i="3" s="1"/>
  <c r="BM46" i="3"/>
  <c r="BD52" i="3"/>
  <c r="NH52" i="3" s="1"/>
  <c r="AY46" i="3"/>
  <c r="AP50" i="3"/>
  <c r="NH50" i="3" s="1"/>
  <c r="AK46" i="3"/>
  <c r="AB48" i="3"/>
  <c r="NH48" i="3" s="1"/>
  <c r="W46" i="3"/>
  <c r="AD46" i="3"/>
  <c r="W40" i="3"/>
  <c r="F45" i="3"/>
  <c r="G46" i="3"/>
  <c r="J45" i="3"/>
  <c r="K46" i="3"/>
  <c r="AE49" i="3" l="1"/>
  <c r="AF49" i="3" s="1"/>
  <c r="DD60" i="3"/>
  <c r="DE60" i="3" s="1"/>
  <c r="EF64" i="3"/>
  <c r="EG64" i="3" s="1"/>
  <c r="HE75" i="3"/>
  <c r="FO69" i="3"/>
  <c r="GQ73" i="3"/>
  <c r="HS77" i="3"/>
  <c r="HT77" i="3" s="1"/>
  <c r="KY89" i="3"/>
  <c r="KZ89" i="3" s="1"/>
  <c r="IN80" i="3"/>
  <c r="IO80" i="3"/>
  <c r="KK87" i="3"/>
  <c r="KL87" i="3" s="1"/>
  <c r="LT92" i="3"/>
  <c r="LU92" i="3" s="1"/>
  <c r="LF90" i="3"/>
  <c r="X48" i="3"/>
  <c r="Y48" i="3" s="1"/>
  <c r="AZ52" i="3"/>
  <c r="BA52" i="3" s="1"/>
  <c r="CB56" i="3"/>
  <c r="CC56" i="3" s="1"/>
  <c r="DK61" i="3"/>
  <c r="DL61" i="3"/>
  <c r="BG53" i="3"/>
  <c r="BH53" i="3" s="1"/>
  <c r="CI57" i="3"/>
  <c r="CJ57" i="3" s="1"/>
  <c r="Q47" i="3"/>
  <c r="DY63" i="3"/>
  <c r="DZ63" i="3" s="1"/>
  <c r="GX74" i="3"/>
  <c r="GY74" i="3" s="1"/>
  <c r="FV70" i="3"/>
  <c r="IU81" i="3"/>
  <c r="IV81" i="3" s="1"/>
  <c r="HZ78" i="3"/>
  <c r="KD86" i="3"/>
  <c r="KE86" i="3" s="1"/>
  <c r="LM91" i="3"/>
  <c r="CP58" i="3"/>
  <c r="CQ58" i="3" s="1"/>
  <c r="DR62" i="3"/>
  <c r="DS62" i="3" s="1"/>
  <c r="ET66" i="3"/>
  <c r="EU66" i="3" s="1"/>
  <c r="FA67" i="3"/>
  <c r="GC71" i="3"/>
  <c r="HL76" i="3"/>
  <c r="HM76" i="3" s="1"/>
  <c r="JW85" i="3"/>
  <c r="JX85" i="3" s="1"/>
  <c r="MV96" i="3"/>
  <c r="MW96" i="3" s="1"/>
  <c r="MX96" i="3" s="1"/>
  <c r="KR88" i="3"/>
  <c r="MA93" i="3"/>
  <c r="MB93" i="3" s="1"/>
  <c r="MH94" i="3"/>
  <c r="AL50" i="3"/>
  <c r="AM50" i="3" s="1"/>
  <c r="BN54" i="3"/>
  <c r="BO54" i="3" s="1"/>
  <c r="CW59" i="3"/>
  <c r="CX59" i="3" s="1"/>
  <c r="AS51" i="3"/>
  <c r="AT51" i="3" s="1"/>
  <c r="BU55" i="3"/>
  <c r="BV55" i="3" s="1"/>
  <c r="EM65" i="3"/>
  <c r="EN65" i="3" s="1"/>
  <c r="FH68" i="3"/>
  <c r="GJ72" i="3"/>
  <c r="IG79" i="3"/>
  <c r="JI83" i="3"/>
  <c r="JP84" i="3"/>
  <c r="JB82" i="3"/>
  <c r="MO95" i="3"/>
  <c r="F44" i="3"/>
  <c r="G45" i="3"/>
  <c r="J44" i="3"/>
  <c r="K45" i="3"/>
  <c r="BW55" i="3" l="1"/>
  <c r="BU56" i="3"/>
  <c r="CY59" i="3"/>
  <c r="CZ59" i="3" s="1"/>
  <c r="CW60" i="3"/>
  <c r="CX60" i="3" s="1"/>
  <c r="AN50" i="3"/>
  <c r="AO50" i="3" s="1"/>
  <c r="AL51" i="3"/>
  <c r="AM51" i="3" s="1"/>
  <c r="MA94" i="3"/>
  <c r="MC93" i="3"/>
  <c r="MD93" i="3" s="1"/>
  <c r="HL77" i="3"/>
  <c r="HN76" i="3"/>
  <c r="HO76" i="3" s="1"/>
  <c r="DT62" i="3"/>
  <c r="DU62" i="3" s="1"/>
  <c r="DR63" i="3"/>
  <c r="EA63" i="3"/>
  <c r="EB63" i="3" s="1"/>
  <c r="DY64" i="3"/>
  <c r="DZ64" i="3" s="1"/>
  <c r="CK57" i="3"/>
  <c r="CI58" i="3"/>
  <c r="DM61" i="3"/>
  <c r="DN61" i="3" s="1"/>
  <c r="DK62" i="3"/>
  <c r="BB52" i="3"/>
  <c r="BC52" i="3" s="1"/>
  <c r="AZ53" i="3"/>
  <c r="BA53" i="3" s="1"/>
  <c r="KK88" i="3"/>
  <c r="KL88" i="3" s="1"/>
  <c r="KM87" i="3"/>
  <c r="KN87" i="3" s="1"/>
  <c r="LA89" i="3"/>
  <c r="LB89" i="3" s="1"/>
  <c r="KY90" i="3"/>
  <c r="KZ90" i="3" s="1"/>
  <c r="DF60" i="3"/>
  <c r="DG60" i="3" s="1"/>
  <c r="DD61" i="3"/>
  <c r="DE61" i="3" s="1"/>
  <c r="MP95" i="3"/>
  <c r="JQ84" i="3"/>
  <c r="IH79" i="3"/>
  <c r="FI68" i="3"/>
  <c r="BX55" i="3"/>
  <c r="MY96" i="3"/>
  <c r="FB67" i="3"/>
  <c r="LN91" i="3"/>
  <c r="IA78" i="3"/>
  <c r="FW70" i="3"/>
  <c r="CL57" i="3"/>
  <c r="LG90" i="3"/>
  <c r="GR73" i="3"/>
  <c r="HF75" i="3"/>
  <c r="EO65" i="3"/>
  <c r="EP65" i="3" s="1"/>
  <c r="EM66" i="3"/>
  <c r="EN66" i="3" s="1"/>
  <c r="AU51" i="3"/>
  <c r="AV51" i="3" s="1"/>
  <c r="AS52" i="3"/>
  <c r="BP54" i="3"/>
  <c r="BQ54" i="3" s="1"/>
  <c r="BN55" i="3"/>
  <c r="JW86" i="3"/>
  <c r="JY85" i="3"/>
  <c r="JZ85" i="3" s="1"/>
  <c r="EV66" i="3"/>
  <c r="EW66" i="3" s="1"/>
  <c r="ET67" i="3"/>
  <c r="CR58" i="3"/>
  <c r="CS58" i="3" s="1"/>
  <c r="CP59" i="3"/>
  <c r="KF86" i="3"/>
  <c r="KG86" i="3" s="1"/>
  <c r="KD87" i="3"/>
  <c r="KE87" i="3" s="1"/>
  <c r="IU82" i="3"/>
  <c r="IW81" i="3"/>
  <c r="IX81" i="3" s="1"/>
  <c r="GZ74" i="3"/>
  <c r="HA74" i="3" s="1"/>
  <c r="GX75" i="3"/>
  <c r="BI53" i="3"/>
  <c r="BJ53" i="3" s="1"/>
  <c r="BG54" i="3"/>
  <c r="CD56" i="3"/>
  <c r="CE56" i="3" s="1"/>
  <c r="CB57" i="3"/>
  <c r="Z48" i="3"/>
  <c r="AA48" i="3" s="1"/>
  <c r="X49" i="3"/>
  <c r="Y49" i="3" s="1"/>
  <c r="LT93" i="3"/>
  <c r="LV92" i="3"/>
  <c r="LW92" i="3" s="1"/>
  <c r="IN81" i="3"/>
  <c r="IP80" i="3"/>
  <c r="IQ80" i="3" s="1"/>
  <c r="HS78" i="3"/>
  <c r="HU77" i="3"/>
  <c r="HV77" i="3" s="1"/>
  <c r="EH64" i="3"/>
  <c r="EI64" i="3" s="1"/>
  <c r="EF65" i="3"/>
  <c r="AG49" i="3"/>
  <c r="AH49" i="3" s="1"/>
  <c r="AE50" i="3"/>
  <c r="AF50" i="3" s="1"/>
  <c r="JC82" i="3"/>
  <c r="JJ83" i="3"/>
  <c r="GK72" i="3"/>
  <c r="MI94" i="3"/>
  <c r="KS88" i="3"/>
  <c r="GD71" i="3"/>
  <c r="R47" i="3"/>
  <c r="FP69" i="3"/>
  <c r="F43" i="3"/>
  <c r="G44" i="3"/>
  <c r="J43" i="3"/>
  <c r="K44" i="3"/>
  <c r="GC72" i="3" l="1"/>
  <c r="GD72" i="3" s="1"/>
  <c r="GE71" i="3"/>
  <c r="GF71" i="3" s="1"/>
  <c r="JI84" i="3"/>
  <c r="JK83" i="3"/>
  <c r="JL83" i="3" s="1"/>
  <c r="AE51" i="3"/>
  <c r="AG50" i="3"/>
  <c r="AH50" i="3" s="1"/>
  <c r="X50" i="3"/>
  <c r="Z49" i="3"/>
  <c r="AA49" i="3" s="1"/>
  <c r="KD88" i="3"/>
  <c r="KF87" i="3"/>
  <c r="HZ79" i="3"/>
  <c r="IA79" i="3" s="1"/>
  <c r="IB78" i="3"/>
  <c r="IC78" i="3" s="1"/>
  <c r="JP85" i="3"/>
  <c r="JQ85" i="3" s="1"/>
  <c r="JR84" i="3"/>
  <c r="JS84" i="3" s="1"/>
  <c r="DD62" i="3"/>
  <c r="DF61" i="3"/>
  <c r="DG61" i="3" s="1"/>
  <c r="KK89" i="3"/>
  <c r="KM88" i="3"/>
  <c r="KN88" i="3" s="1"/>
  <c r="AZ54" i="3"/>
  <c r="BA54" i="3" s="1"/>
  <c r="BB53" i="3"/>
  <c r="BC53" i="3" s="1"/>
  <c r="CW61" i="3"/>
  <c r="CX61" i="3" s="1"/>
  <c r="CY60" i="3"/>
  <c r="CZ60" i="3" s="1"/>
  <c r="JB83" i="3"/>
  <c r="JC83" i="3" s="1"/>
  <c r="JD82" i="3"/>
  <c r="JE82" i="3" s="1"/>
  <c r="LU93" i="3"/>
  <c r="IV82" i="3"/>
  <c r="EM67" i="3"/>
  <c r="EO66" i="3"/>
  <c r="EP66" i="3" s="1"/>
  <c r="LM92" i="3"/>
  <c r="LO91" i="3"/>
  <c r="LP91" i="3" s="1"/>
  <c r="MO96" i="3"/>
  <c r="MP96" i="3" s="1"/>
  <c r="MQ96" i="3" s="1"/>
  <c r="MQ95" i="3"/>
  <c r="MR95" i="3" s="1"/>
  <c r="KY91" i="3"/>
  <c r="KZ91" i="3" s="1"/>
  <c r="LA90" i="3"/>
  <c r="LB90" i="3" s="1"/>
  <c r="DY65" i="3"/>
  <c r="DZ65" i="3" s="1"/>
  <c r="EA64" i="3"/>
  <c r="EB64" i="3" s="1"/>
  <c r="AL52" i="3"/>
  <c r="AM52" i="3" s="1"/>
  <c r="AN51" i="3"/>
  <c r="AO51" i="3" s="1"/>
  <c r="NI47" i="3"/>
  <c r="Q48" i="3"/>
  <c r="R48" i="3" s="1"/>
  <c r="S47" i="3"/>
  <c r="T47" i="3" s="1"/>
  <c r="NF47" i="3" s="1"/>
  <c r="KR89" i="3"/>
  <c r="KS89" i="3" s="1"/>
  <c r="KT88" i="3"/>
  <c r="KU88" i="3" s="1"/>
  <c r="IO81" i="3"/>
  <c r="BH54" i="3"/>
  <c r="GY75" i="3"/>
  <c r="KG87" i="3"/>
  <c r="EU67" i="3"/>
  <c r="JX86" i="3"/>
  <c r="AT52" i="3"/>
  <c r="HG75" i="3"/>
  <c r="HH75" i="3" s="1"/>
  <c r="HE76" i="3"/>
  <c r="HF76" i="3" s="1"/>
  <c r="LF91" i="3"/>
  <c r="LG91" i="3" s="1"/>
  <c r="LH90" i="3"/>
  <c r="LI90" i="3" s="1"/>
  <c r="FH69" i="3"/>
  <c r="FI69" i="3" s="1"/>
  <c r="FJ68" i="3"/>
  <c r="FK68" i="3" s="1"/>
  <c r="CJ58" i="3"/>
  <c r="MB94" i="3"/>
  <c r="FO70" i="3"/>
  <c r="FP70" i="3" s="1"/>
  <c r="FQ69" i="3"/>
  <c r="FR69" i="3" s="1"/>
  <c r="MH95" i="3"/>
  <c r="MI95" i="3" s="1"/>
  <c r="MJ94" i="3"/>
  <c r="MK94" i="3" s="1"/>
  <c r="GJ73" i="3"/>
  <c r="GL72" i="3"/>
  <c r="GM72" i="3" s="1"/>
  <c r="EG65" i="3"/>
  <c r="HT78" i="3"/>
  <c r="CC57" i="3"/>
  <c r="CQ59" i="3"/>
  <c r="BO55" i="3"/>
  <c r="GQ74" i="3"/>
  <c r="GR74" i="3" s="1"/>
  <c r="GS73" i="3"/>
  <c r="GT73" i="3" s="1"/>
  <c r="FV71" i="3"/>
  <c r="FX70" i="3"/>
  <c r="FY70" i="3" s="1"/>
  <c r="FA68" i="3"/>
  <c r="FC67" i="3"/>
  <c r="FD67" i="3" s="1"/>
  <c r="IG80" i="3"/>
  <c r="IH80" i="3" s="1"/>
  <c r="II79" i="3"/>
  <c r="IJ79" i="3" s="1"/>
  <c r="DL62" i="3"/>
  <c r="DS63" i="3"/>
  <c r="HM77" i="3"/>
  <c r="BV56" i="3"/>
  <c r="F42" i="3"/>
  <c r="G43" i="3"/>
  <c r="J42" i="3"/>
  <c r="K43" i="3"/>
  <c r="BU57" i="3" l="1"/>
  <c r="BV57" i="3" s="1"/>
  <c r="BW56" i="3"/>
  <c r="BX56" i="3" s="1"/>
  <c r="II80" i="3"/>
  <c r="IG81" i="3"/>
  <c r="IH81" i="3" s="1"/>
  <c r="HS79" i="3"/>
  <c r="HU78" i="3"/>
  <c r="HV78" i="3" s="1"/>
  <c r="FQ70" i="3"/>
  <c r="FO71" i="3"/>
  <c r="FP71" i="3" s="1"/>
  <c r="MA95" i="3"/>
  <c r="MC94" i="3"/>
  <c r="MD94" i="3" s="1"/>
  <c r="LH91" i="3"/>
  <c r="LF92" i="3"/>
  <c r="ET68" i="3"/>
  <c r="EU68" i="3" s="1"/>
  <c r="EV67" i="3"/>
  <c r="EW67" i="3" s="1"/>
  <c r="KT89" i="3"/>
  <c r="KR90" i="3"/>
  <c r="KS90" i="3" s="1"/>
  <c r="NI48" i="3"/>
  <c r="S48" i="3"/>
  <c r="T48" i="3" s="1"/>
  <c r="NF48" i="3" s="1"/>
  <c r="Q49" i="3"/>
  <c r="R49" i="3" s="1"/>
  <c r="AL53" i="3"/>
  <c r="AN52" i="3"/>
  <c r="AO52" i="3" s="1"/>
  <c r="IW82" i="3"/>
  <c r="IX82" i="3" s="1"/>
  <c r="IU83" i="3"/>
  <c r="IV83" i="3" s="1"/>
  <c r="CW62" i="3"/>
  <c r="CY61" i="3"/>
  <c r="CZ61" i="3" s="1"/>
  <c r="AZ55" i="3"/>
  <c r="BB54" i="3"/>
  <c r="BC54" i="3" s="1"/>
  <c r="HZ80" i="3"/>
  <c r="IB79" i="3"/>
  <c r="DK63" i="3"/>
  <c r="DL63" i="3" s="1"/>
  <c r="DM62" i="3"/>
  <c r="DN62" i="3" s="1"/>
  <c r="GS74" i="3"/>
  <c r="GT74" i="3" s="1"/>
  <c r="GQ75" i="3"/>
  <c r="BN56" i="3"/>
  <c r="BP55" i="3"/>
  <c r="BQ55" i="3" s="1"/>
  <c r="EF66" i="3"/>
  <c r="EH65" i="3"/>
  <c r="EI65" i="3" s="1"/>
  <c r="MH96" i="3"/>
  <c r="MJ95" i="3"/>
  <c r="MK95" i="3" s="1"/>
  <c r="FH70" i="3"/>
  <c r="FJ69" i="3"/>
  <c r="HE77" i="3"/>
  <c r="HG76" i="3"/>
  <c r="HH76" i="3" s="1"/>
  <c r="IP81" i="3"/>
  <c r="IQ81" i="3" s="1"/>
  <c r="IN82" i="3"/>
  <c r="IO82" i="3" s="1"/>
  <c r="DY66" i="3"/>
  <c r="EA65" i="3"/>
  <c r="LA91" i="3"/>
  <c r="LB91" i="3" s="1"/>
  <c r="KY92" i="3"/>
  <c r="JB84" i="3"/>
  <c r="JD83" i="3"/>
  <c r="JE83" i="3" s="1"/>
  <c r="JP86" i="3"/>
  <c r="JQ86" i="3" s="1"/>
  <c r="JR85" i="3"/>
  <c r="JS85" i="3" s="1"/>
  <c r="GE72" i="3"/>
  <c r="GF72" i="3" s="1"/>
  <c r="GC73" i="3"/>
  <c r="GD73" i="3" s="1"/>
  <c r="HL78" i="3"/>
  <c r="HM78" i="3" s="1"/>
  <c r="HN77" i="3"/>
  <c r="HO77" i="3" s="1"/>
  <c r="IJ80" i="3"/>
  <c r="FW71" i="3"/>
  <c r="CP60" i="3"/>
  <c r="CR59" i="3"/>
  <c r="CS59" i="3" s="1"/>
  <c r="GK73" i="3"/>
  <c r="FR70" i="3"/>
  <c r="CI59" i="3"/>
  <c r="CK58" i="3"/>
  <c r="CL58" i="3" s="1"/>
  <c r="LI91" i="3"/>
  <c r="AS53" i="3"/>
  <c r="AU52" i="3"/>
  <c r="AV52" i="3" s="1"/>
  <c r="GX76" i="3"/>
  <c r="GZ75" i="3"/>
  <c r="HA75" i="3" s="1"/>
  <c r="KU89" i="3"/>
  <c r="MR96" i="3"/>
  <c r="EN67" i="3"/>
  <c r="LT94" i="3"/>
  <c r="LU94" i="3" s="1"/>
  <c r="LV93" i="3"/>
  <c r="LW93" i="3" s="1"/>
  <c r="DE62" i="3"/>
  <c r="IC79" i="3"/>
  <c r="DR64" i="3"/>
  <c r="DS64" i="3" s="1"/>
  <c r="DT63" i="3"/>
  <c r="DU63" i="3" s="1"/>
  <c r="FB68" i="3"/>
  <c r="CB58" i="3"/>
  <c r="CD57" i="3"/>
  <c r="CE57" i="3" s="1"/>
  <c r="FK69" i="3"/>
  <c r="JW87" i="3"/>
  <c r="JX87" i="3" s="1"/>
  <c r="JY86" i="3"/>
  <c r="JZ86" i="3" s="1"/>
  <c r="BG55" i="3"/>
  <c r="BI54" i="3"/>
  <c r="BJ54" i="3" s="1"/>
  <c r="EB65" i="3"/>
  <c r="LN92" i="3"/>
  <c r="KL89" i="3"/>
  <c r="KE88" i="3"/>
  <c r="Y50" i="3"/>
  <c r="AF51" i="3"/>
  <c r="JJ84" i="3"/>
  <c r="F41" i="3"/>
  <c r="G42" i="3"/>
  <c r="J41" i="3"/>
  <c r="K42" i="3"/>
  <c r="JK84" i="3" l="1"/>
  <c r="JL84" i="3" s="1"/>
  <c r="JI85" i="3"/>
  <c r="DT64" i="3"/>
  <c r="DR65" i="3"/>
  <c r="LV94" i="3"/>
  <c r="LT95" i="3"/>
  <c r="LU95" i="3" s="1"/>
  <c r="HN78" i="3"/>
  <c r="HO78" i="3" s="1"/>
  <c r="HL79" i="3"/>
  <c r="JR86" i="3"/>
  <c r="JP87" i="3"/>
  <c r="JQ87" i="3" s="1"/>
  <c r="NI49" i="3"/>
  <c r="Q50" i="3"/>
  <c r="R50" i="3" s="1"/>
  <c r="S49" i="3"/>
  <c r="T49" i="3" s="1"/>
  <c r="NF49" i="3" s="1"/>
  <c r="KR91" i="3"/>
  <c r="KT90" i="3"/>
  <c r="KU90" i="3" s="1"/>
  <c r="FQ71" i="3"/>
  <c r="FO72" i="3"/>
  <c r="FP72" i="3" s="1"/>
  <c r="IG82" i="3"/>
  <c r="II81" i="3"/>
  <c r="IJ81" i="3" s="1"/>
  <c r="AE52" i="3"/>
  <c r="AG51" i="3"/>
  <c r="AH51" i="3" s="1"/>
  <c r="KM89" i="3"/>
  <c r="KN89" i="3" s="1"/>
  <c r="KK90" i="3"/>
  <c r="JW88" i="3"/>
  <c r="JY87" i="3"/>
  <c r="JZ87" i="3" s="1"/>
  <c r="DD63" i="3"/>
  <c r="DF62" i="3"/>
  <c r="DG62" i="3" s="1"/>
  <c r="GC74" i="3"/>
  <c r="GD74" i="3" s="1"/>
  <c r="GE73" i="3"/>
  <c r="DZ66" i="3"/>
  <c r="IN83" i="3"/>
  <c r="IP82" i="3"/>
  <c r="DK64" i="3"/>
  <c r="DM63" i="3"/>
  <c r="DN63" i="3" s="1"/>
  <c r="IU84" i="3"/>
  <c r="IV84" i="3" s="1"/>
  <c r="IW83" i="3"/>
  <c r="AM53" i="3"/>
  <c r="EV68" i="3"/>
  <c r="EW68" i="3" s="1"/>
  <c r="ET69" i="3"/>
  <c r="BW57" i="3"/>
  <c r="BU58" i="3"/>
  <c r="Y51" i="3"/>
  <c r="X51" i="3"/>
  <c r="Z50" i="3"/>
  <c r="AA50" i="3" s="1"/>
  <c r="BH55" i="3"/>
  <c r="DU64" i="3"/>
  <c r="LW94" i="3"/>
  <c r="AT53" i="3"/>
  <c r="CJ59" i="3"/>
  <c r="GK74" i="3"/>
  <c r="GL73" i="3"/>
  <c r="GM73" i="3" s="1"/>
  <c r="GJ74" i="3"/>
  <c r="FW72" i="3"/>
  <c r="FX71" i="3"/>
  <c r="FY71" i="3" s="1"/>
  <c r="FV72" i="3"/>
  <c r="JS86" i="3"/>
  <c r="JC84" i="3"/>
  <c r="KZ92" i="3"/>
  <c r="HF77" i="3"/>
  <c r="MI96" i="3"/>
  <c r="MJ96" i="3" s="1"/>
  <c r="MK96" i="3" s="1"/>
  <c r="BO56" i="3"/>
  <c r="CX62" i="3"/>
  <c r="LG92" i="3"/>
  <c r="FR71" i="3"/>
  <c r="HT79" i="3"/>
  <c r="KD89" i="3"/>
  <c r="KF88" i="3"/>
  <c r="KG88" i="3" s="1"/>
  <c r="LM93" i="3"/>
  <c r="LO92" i="3"/>
  <c r="LP92" i="3" s="1"/>
  <c r="CC58" i="3"/>
  <c r="FA69" i="3"/>
  <c r="FC68" i="3"/>
  <c r="FD68" i="3" s="1"/>
  <c r="EM68" i="3"/>
  <c r="EO67" i="3"/>
  <c r="EP67" i="3" s="1"/>
  <c r="GY76" i="3"/>
  <c r="CQ60" i="3"/>
  <c r="GF73" i="3"/>
  <c r="IQ82" i="3"/>
  <c r="FI70" i="3"/>
  <c r="EG66" i="3"/>
  <c r="GR75" i="3"/>
  <c r="IA80" i="3"/>
  <c r="BA55" i="3"/>
  <c r="IX83" i="3"/>
  <c r="MB95" i="3"/>
  <c r="BX57" i="3"/>
  <c r="F40" i="3"/>
  <c r="G41" i="3"/>
  <c r="J40" i="3"/>
  <c r="K41" i="3"/>
  <c r="CW63" i="3" l="1"/>
  <c r="CX63" i="3" s="1"/>
  <c r="CY62" i="3"/>
  <c r="CZ62" i="3" s="1"/>
  <c r="JD84" i="3"/>
  <c r="JE84" i="3" s="1"/>
  <c r="JB85" i="3"/>
  <c r="GJ75" i="3"/>
  <c r="GL74" i="3"/>
  <c r="GM74" i="3" s="1"/>
  <c r="X52" i="3"/>
  <c r="Z51" i="3"/>
  <c r="AA51" i="3" s="1"/>
  <c r="AL54" i="3"/>
  <c r="AM54" i="3" s="1"/>
  <c r="AN53" i="3"/>
  <c r="AO53" i="3" s="1"/>
  <c r="GE74" i="3"/>
  <c r="GC75" i="3"/>
  <c r="FO73" i="3"/>
  <c r="FP73" i="3"/>
  <c r="FQ72" i="3"/>
  <c r="JP88" i="3"/>
  <c r="JR87" i="3"/>
  <c r="JS87" i="3" s="1"/>
  <c r="LT96" i="3"/>
  <c r="LU96" i="3" s="1"/>
  <c r="LV96" i="3" s="1"/>
  <c r="LV95" i="3"/>
  <c r="GQ76" i="3"/>
  <c r="GR76" i="3" s="1"/>
  <c r="GS75" i="3"/>
  <c r="GT75" i="3" s="1"/>
  <c r="FB69" i="3"/>
  <c r="LF93" i="3"/>
  <c r="LH92" i="3"/>
  <c r="LI92" i="3" s="1"/>
  <c r="FV73" i="3"/>
  <c r="FX72" i="3"/>
  <c r="FY72" i="3" s="1"/>
  <c r="CK59" i="3"/>
  <c r="CL59" i="3" s="1"/>
  <c r="CI60" i="3"/>
  <c r="BI55" i="3"/>
  <c r="BJ55" i="3" s="1"/>
  <c r="BG56" i="3"/>
  <c r="IU85" i="3"/>
  <c r="IV85" i="3" s="1"/>
  <c r="IW84" i="3"/>
  <c r="IX84" i="3" s="1"/>
  <c r="AF52" i="3"/>
  <c r="NI50" i="3"/>
  <c r="S50" i="3"/>
  <c r="T50" i="3" s="1"/>
  <c r="NF50" i="3" s="1"/>
  <c r="Q51" i="3"/>
  <c r="AZ56" i="3"/>
  <c r="BA56" i="3" s="1"/>
  <c r="BB55" i="3"/>
  <c r="BC55" i="3" s="1"/>
  <c r="EH66" i="3"/>
  <c r="EI66" i="3" s="1"/>
  <c r="EF67" i="3"/>
  <c r="CP61" i="3"/>
  <c r="CQ61" i="3" s="1"/>
  <c r="CR60" i="3"/>
  <c r="CS60" i="3" s="1"/>
  <c r="EN68" i="3"/>
  <c r="CB59" i="3"/>
  <c r="CC59" i="3" s="1"/>
  <c r="CD58" i="3"/>
  <c r="CE58" i="3" s="1"/>
  <c r="LN93" i="3"/>
  <c r="HE78" i="3"/>
  <c r="HG77" i="3"/>
  <c r="HH77" i="3" s="1"/>
  <c r="AU53" i="3"/>
  <c r="AV53" i="3" s="1"/>
  <c r="AS54" i="3"/>
  <c r="AT54" i="3" s="1"/>
  <c r="DY67" i="3"/>
  <c r="EA66" i="3"/>
  <c r="EB66" i="3" s="1"/>
  <c r="GF74" i="3"/>
  <c r="KL90" i="3"/>
  <c r="IH82" i="3"/>
  <c r="FR72" i="3"/>
  <c r="KS91" i="3"/>
  <c r="LW95" i="3"/>
  <c r="MC95" i="3"/>
  <c r="MD95" i="3" s="1"/>
  <c r="MA96" i="3"/>
  <c r="MB96" i="3" s="1"/>
  <c r="MC96" i="3" s="1"/>
  <c r="HZ81" i="3"/>
  <c r="IB80" i="3"/>
  <c r="IC80" i="3" s="1"/>
  <c r="FJ70" i="3"/>
  <c r="FK70" i="3" s="1"/>
  <c r="FH71" i="3"/>
  <c r="GX77" i="3"/>
  <c r="GZ76" i="3"/>
  <c r="HA76" i="3" s="1"/>
  <c r="KE89" i="3"/>
  <c r="HU79" i="3"/>
  <c r="HV79" i="3" s="1"/>
  <c r="HS80" i="3"/>
  <c r="BN57" i="3"/>
  <c r="BO57" i="3" s="1"/>
  <c r="BP56" i="3"/>
  <c r="BQ56" i="3" s="1"/>
  <c r="KY93" i="3"/>
  <c r="LA92" i="3"/>
  <c r="LB92" i="3" s="1"/>
  <c r="BV58" i="3"/>
  <c r="EU69" i="3"/>
  <c r="DL64" i="3"/>
  <c r="IO83" i="3"/>
  <c r="DE63" i="3"/>
  <c r="JX88" i="3"/>
  <c r="HM79" i="3"/>
  <c r="DS65" i="3"/>
  <c r="JJ85" i="3"/>
  <c r="F39" i="3"/>
  <c r="G40" i="3"/>
  <c r="J39" i="3"/>
  <c r="K40" i="3"/>
  <c r="HL80" i="3" l="1"/>
  <c r="HM80" i="3" s="1"/>
  <c r="HN79" i="3"/>
  <c r="HO79" i="3" s="1"/>
  <c r="IN84" i="3"/>
  <c r="IP83" i="3"/>
  <c r="IQ83" i="3" s="1"/>
  <c r="BU59" i="3"/>
  <c r="BW58" i="3"/>
  <c r="BX58" i="3" s="1"/>
  <c r="BN58" i="3"/>
  <c r="BO58" i="3" s="1"/>
  <c r="BP57" i="3"/>
  <c r="BQ57" i="3" s="1"/>
  <c r="KD90" i="3"/>
  <c r="KE90" i="3" s="1"/>
  <c r="KF89" i="3"/>
  <c r="KG89" i="3" s="1"/>
  <c r="AS55" i="3"/>
  <c r="AU54" i="3"/>
  <c r="AV54" i="3" s="1"/>
  <c r="AT55" i="3"/>
  <c r="CB60" i="3"/>
  <c r="CC60" i="3" s="1"/>
  <c r="CD59" i="3"/>
  <c r="CR61" i="3"/>
  <c r="CS61" i="3" s="1"/>
  <c r="CP62" i="3"/>
  <c r="BB56" i="3"/>
  <c r="BC56" i="3" s="1"/>
  <c r="AZ57" i="3"/>
  <c r="BA57" i="3" s="1"/>
  <c r="IW85" i="3"/>
  <c r="IX85" i="3" s="1"/>
  <c r="IU86" i="3"/>
  <c r="IV86" i="3" s="1"/>
  <c r="FO74" i="3"/>
  <c r="FQ73" i="3"/>
  <c r="FR73" i="3" s="1"/>
  <c r="AN54" i="3"/>
  <c r="AO54" i="3" s="1"/>
  <c r="AL55" i="3"/>
  <c r="AM55" i="3" s="1"/>
  <c r="CY63" i="3"/>
  <c r="CZ63" i="3" s="1"/>
  <c r="CW64" i="3"/>
  <c r="CX64" i="3" s="1"/>
  <c r="DK65" i="3"/>
  <c r="DL65" i="3" s="1"/>
  <c r="DM64" i="3"/>
  <c r="DN64" i="3" s="1"/>
  <c r="IG83" i="3"/>
  <c r="IH83" i="3" s="1"/>
  <c r="II82" i="3"/>
  <c r="IJ82" i="3" s="1"/>
  <c r="LM94" i="3"/>
  <c r="LO93" i="3"/>
  <c r="LP93" i="3" s="1"/>
  <c r="EM69" i="3"/>
  <c r="EN69" i="3" s="1"/>
  <c r="EO68" i="3"/>
  <c r="EP68" i="3" s="1"/>
  <c r="GS76" i="3"/>
  <c r="GT76" i="3" s="1"/>
  <c r="GQ77" i="3"/>
  <c r="GR77" i="3" s="1"/>
  <c r="JI86" i="3"/>
  <c r="JK85" i="3"/>
  <c r="JL85" i="3" s="1"/>
  <c r="JY88" i="3"/>
  <c r="JZ88" i="3" s="1"/>
  <c r="JW89" i="3"/>
  <c r="JX89" i="3" s="1"/>
  <c r="FI71" i="3"/>
  <c r="MD96" i="3"/>
  <c r="KM90" i="3"/>
  <c r="KN90" i="3" s="1"/>
  <c r="KK91" i="3"/>
  <c r="DZ67" i="3"/>
  <c r="HF78" i="3"/>
  <c r="AE53" i="3"/>
  <c r="AF53" i="3" s="1"/>
  <c r="AG52" i="3"/>
  <c r="AH52" i="3" s="1"/>
  <c r="CJ60" i="3"/>
  <c r="LG93" i="3"/>
  <c r="LW96" i="3"/>
  <c r="GK75" i="3"/>
  <c r="DR66" i="3"/>
  <c r="DT65" i="3"/>
  <c r="DU65" i="3" s="1"/>
  <c r="DD64" i="3"/>
  <c r="DE64" i="3" s="1"/>
  <c r="DF63" i="3"/>
  <c r="DG63" i="3" s="1"/>
  <c r="ET70" i="3"/>
  <c r="EU70" i="3" s="1"/>
  <c r="EV69" i="3"/>
  <c r="EW69" i="3" s="1"/>
  <c r="KZ93" i="3"/>
  <c r="HT80" i="3"/>
  <c r="GY77" i="3"/>
  <c r="IA81" i="3"/>
  <c r="KR92" i="3"/>
  <c r="KT91" i="3"/>
  <c r="KU91" i="3" s="1"/>
  <c r="CE59" i="3"/>
  <c r="EG67" i="3"/>
  <c r="R51" i="3"/>
  <c r="BH56" i="3"/>
  <c r="FW73" i="3"/>
  <c r="FC69" i="3"/>
  <c r="FD69" i="3" s="1"/>
  <c r="FA70" i="3"/>
  <c r="JQ88" i="3"/>
  <c r="GD75" i="3"/>
  <c r="Y52" i="3"/>
  <c r="JC85" i="3"/>
  <c r="F38" i="3"/>
  <c r="G39" i="3"/>
  <c r="J38" i="3"/>
  <c r="K39" i="3"/>
  <c r="Z52" i="3" l="1"/>
  <c r="AA52" i="3" s="1"/>
  <c r="X53" i="3"/>
  <c r="BG57" i="3"/>
  <c r="BH57" i="3" s="1"/>
  <c r="BI56" i="3"/>
  <c r="BJ56" i="3" s="1"/>
  <c r="IB81" i="3"/>
  <c r="IC81" i="3" s="1"/>
  <c r="HZ82" i="3"/>
  <c r="IA82" i="3" s="1"/>
  <c r="LA93" i="3"/>
  <c r="LB93" i="3" s="1"/>
  <c r="KY94" i="3"/>
  <c r="KZ94" i="3" s="1"/>
  <c r="DF64" i="3"/>
  <c r="DG64" i="3" s="1"/>
  <c r="DD65" i="3"/>
  <c r="EA67" i="3"/>
  <c r="EB67" i="3" s="1"/>
  <c r="DY68" i="3"/>
  <c r="GQ78" i="3"/>
  <c r="GR78" i="3" s="1"/>
  <c r="GS77" i="3"/>
  <c r="GT77" i="3" s="1"/>
  <c r="EO69" i="3"/>
  <c r="EP69" i="3" s="1"/>
  <c r="EM70" i="3"/>
  <c r="EN70" i="3" s="1"/>
  <c r="IG84" i="3"/>
  <c r="II83" i="3"/>
  <c r="IJ83" i="3" s="1"/>
  <c r="DM65" i="3"/>
  <c r="DN65" i="3" s="1"/>
  <c r="DK66" i="3"/>
  <c r="AZ58" i="3"/>
  <c r="BA58" i="3" s="1"/>
  <c r="BB57" i="3"/>
  <c r="BC57" i="3" s="1"/>
  <c r="CD60" i="3"/>
  <c r="CE60" i="3" s="1"/>
  <c r="CB61" i="3"/>
  <c r="AU55" i="3"/>
  <c r="AV55" i="3" s="1"/>
  <c r="AS56" i="3"/>
  <c r="AT56" i="3" s="1"/>
  <c r="BP58" i="3"/>
  <c r="BQ58" i="3" s="1"/>
  <c r="BN59" i="3"/>
  <c r="BO59" i="3" s="1"/>
  <c r="GC76" i="3"/>
  <c r="GE75" i="3"/>
  <c r="GF75" i="3" s="1"/>
  <c r="NI51" i="3"/>
  <c r="Q52" i="3"/>
  <c r="R52" i="3" s="1"/>
  <c r="S51" i="3"/>
  <c r="T51" i="3" s="1"/>
  <c r="NF51" i="3" s="1"/>
  <c r="GX78" i="3"/>
  <c r="GY78" i="3" s="1"/>
  <c r="GZ77" i="3"/>
  <c r="HA77" i="3" s="1"/>
  <c r="EV70" i="3"/>
  <c r="EW70" i="3" s="1"/>
  <c r="ET71" i="3"/>
  <c r="AG53" i="3"/>
  <c r="AH53" i="3" s="1"/>
  <c r="AE54" i="3"/>
  <c r="FJ71" i="3"/>
  <c r="FK71" i="3" s="1"/>
  <c r="FH72" i="3"/>
  <c r="JW90" i="3"/>
  <c r="JY89" i="3"/>
  <c r="JZ89" i="3" s="1"/>
  <c r="CW65" i="3"/>
  <c r="CY64" i="3"/>
  <c r="CZ64" i="3" s="1"/>
  <c r="AL56" i="3"/>
  <c r="AN55" i="3"/>
  <c r="AO55" i="3" s="1"/>
  <c r="IU87" i="3"/>
  <c r="IV87" i="3" s="1"/>
  <c r="IW86" i="3"/>
  <c r="IX86" i="3" s="1"/>
  <c r="KD91" i="3"/>
  <c r="KF90" i="3"/>
  <c r="KG90" i="3" s="1"/>
  <c r="HL81" i="3"/>
  <c r="HN80" i="3"/>
  <c r="HO80" i="3" s="1"/>
  <c r="JR88" i="3"/>
  <c r="JS88" i="3" s="1"/>
  <c r="JP89" i="3"/>
  <c r="FB70" i="3"/>
  <c r="EF68" i="3"/>
  <c r="EG68" i="3" s="1"/>
  <c r="EH67" i="3"/>
  <c r="EI67" i="3" s="1"/>
  <c r="HS81" i="3"/>
  <c r="HT81" i="3" s="1"/>
  <c r="HU80" i="3"/>
  <c r="HV80" i="3" s="1"/>
  <c r="LF94" i="3"/>
  <c r="LH93" i="3"/>
  <c r="LI93" i="3" s="1"/>
  <c r="HG78" i="3"/>
  <c r="HH78" i="3" s="1"/>
  <c r="HE79" i="3"/>
  <c r="HF79" i="3" s="1"/>
  <c r="JJ86" i="3"/>
  <c r="FP74" i="3"/>
  <c r="IO84" i="3"/>
  <c r="JB86" i="3"/>
  <c r="JC86" i="3" s="1"/>
  <c r="JD85" i="3"/>
  <c r="JE85" i="3" s="1"/>
  <c r="FX73" i="3"/>
  <c r="FY73" i="3" s="1"/>
  <c r="FV74" i="3"/>
  <c r="FW74" i="3" s="1"/>
  <c r="KS92" i="3"/>
  <c r="DS66" i="3"/>
  <c r="GL75" i="3"/>
  <c r="GM75" i="3" s="1"/>
  <c r="GJ76" i="3"/>
  <c r="CI61" i="3"/>
  <c r="CJ61" i="3" s="1"/>
  <c r="CK60" i="3"/>
  <c r="CL60" i="3" s="1"/>
  <c r="KL91" i="3"/>
  <c r="LN94" i="3"/>
  <c r="CQ62" i="3"/>
  <c r="BV59" i="3"/>
  <c r="F37" i="3"/>
  <c r="G38" i="3"/>
  <c r="J37" i="3"/>
  <c r="K38" i="3"/>
  <c r="CP63" i="3" l="1"/>
  <c r="CQ63" i="3" s="1"/>
  <c r="CR62" i="3"/>
  <c r="CS62" i="3" s="1"/>
  <c r="FV75" i="3"/>
  <c r="FW75" i="3" s="1"/>
  <c r="FX74" i="3"/>
  <c r="FY74" i="3" s="1"/>
  <c r="IP84" i="3"/>
  <c r="IQ84" i="3" s="1"/>
  <c r="IN85" i="3"/>
  <c r="IO85" i="3" s="1"/>
  <c r="HE80" i="3"/>
  <c r="HF80" i="3" s="1"/>
  <c r="HG79" i="3"/>
  <c r="HH79" i="3" s="1"/>
  <c r="FC70" i="3"/>
  <c r="FD70" i="3" s="1"/>
  <c r="FA71" i="3"/>
  <c r="GX79" i="3"/>
  <c r="GZ78" i="3"/>
  <c r="HA78" i="3" s="1"/>
  <c r="NI52" i="3"/>
  <c r="S52" i="3"/>
  <c r="T52" i="3" s="1"/>
  <c r="NF52" i="3" s="1"/>
  <c r="Q53" i="3"/>
  <c r="R53" i="3" s="1"/>
  <c r="AS57" i="3"/>
  <c r="AT57" i="3" s="1"/>
  <c r="AU56" i="3"/>
  <c r="AV56" i="3" s="1"/>
  <c r="BB58" i="3"/>
  <c r="BC58" i="3" s="1"/>
  <c r="AZ59" i="3"/>
  <c r="EM71" i="3"/>
  <c r="EN71" i="3" s="1"/>
  <c r="EO70" i="3"/>
  <c r="EP70" i="3" s="1"/>
  <c r="HZ83" i="3"/>
  <c r="IA83" i="3" s="1"/>
  <c r="IB82" i="3"/>
  <c r="IC82" i="3" s="1"/>
  <c r="LO94" i="3"/>
  <c r="LP94" i="3" s="1"/>
  <c r="LM95" i="3"/>
  <c r="LN95" i="3" s="1"/>
  <c r="CK61" i="3"/>
  <c r="CL61" i="3" s="1"/>
  <c r="CI62" i="3"/>
  <c r="CJ62" i="3" s="1"/>
  <c r="KR93" i="3"/>
  <c r="KS93" i="3" s="1"/>
  <c r="KT92" i="3"/>
  <c r="KU92" i="3" s="1"/>
  <c r="JB87" i="3"/>
  <c r="JC87" i="3" s="1"/>
  <c r="JD86" i="3"/>
  <c r="JE86" i="3" s="1"/>
  <c r="FO75" i="3"/>
  <c r="FP75" i="3" s="1"/>
  <c r="FQ74" i="3"/>
  <c r="FR74" i="3" s="1"/>
  <c r="JI87" i="3"/>
  <c r="JK86" i="3"/>
  <c r="JL86" i="3" s="1"/>
  <c r="HS82" i="3"/>
  <c r="HU81" i="3"/>
  <c r="HV81" i="3" s="1"/>
  <c r="EH68" i="3"/>
  <c r="EI68" i="3" s="1"/>
  <c r="EF69" i="3"/>
  <c r="IW87" i="3"/>
  <c r="IX87" i="3" s="1"/>
  <c r="IU88" i="3"/>
  <c r="IV88" i="3" s="1"/>
  <c r="BN60" i="3"/>
  <c r="BP59" i="3"/>
  <c r="BQ59" i="3" s="1"/>
  <c r="GQ79" i="3"/>
  <c r="GS78" i="3"/>
  <c r="KY95" i="3"/>
  <c r="KZ95" i="3" s="1"/>
  <c r="LA94" i="3"/>
  <c r="LB94" i="3" s="1"/>
  <c r="BI57" i="3"/>
  <c r="BJ57" i="3" s="1"/>
  <c r="BG58" i="3"/>
  <c r="BH58" i="3" s="1"/>
  <c r="BW59" i="3"/>
  <c r="BX59" i="3" s="1"/>
  <c r="BU60" i="3"/>
  <c r="BV60" i="3" s="1"/>
  <c r="GK76" i="3"/>
  <c r="HM81" i="3"/>
  <c r="KE91" i="3"/>
  <c r="CX65" i="3"/>
  <c r="JX90" i="3"/>
  <c r="DL66" i="3"/>
  <c r="DE65" i="3"/>
  <c r="KK92" i="3"/>
  <c r="KM91" i="3"/>
  <c r="KN91" i="3" s="1"/>
  <c r="DT66" i="3"/>
  <c r="DU66" i="3" s="1"/>
  <c r="DR67" i="3"/>
  <c r="DS67" i="3" s="1"/>
  <c r="LG94" i="3"/>
  <c r="JQ89" i="3"/>
  <c r="AM56" i="3"/>
  <c r="FI72" i="3"/>
  <c r="AF54" i="3"/>
  <c r="EU71" i="3"/>
  <c r="GD76" i="3"/>
  <c r="CC61" i="3"/>
  <c r="IH84" i="3"/>
  <c r="GT78" i="3"/>
  <c r="DZ68" i="3"/>
  <c r="Y53" i="3"/>
  <c r="F36" i="3"/>
  <c r="G37" i="3"/>
  <c r="J36" i="3"/>
  <c r="K37" i="3"/>
  <c r="DY69" i="3" l="1"/>
  <c r="DZ69" i="3" s="1"/>
  <c r="EA68" i="3"/>
  <c r="EB68" i="3" s="1"/>
  <c r="FH73" i="3"/>
  <c r="FJ72" i="3"/>
  <c r="FK72" i="3" s="1"/>
  <c r="KD92" i="3"/>
  <c r="KF91" i="3"/>
  <c r="KG91" i="3" s="1"/>
  <c r="BU61" i="3"/>
  <c r="BV61" i="3" s="1"/>
  <c r="BW60" i="3"/>
  <c r="BX60" i="3" s="1"/>
  <c r="BG59" i="3"/>
  <c r="BH59" i="3" s="1"/>
  <c r="BI58" i="3"/>
  <c r="BJ58" i="3" s="1"/>
  <c r="FQ75" i="3"/>
  <c r="FR75" i="3" s="1"/>
  <c r="FO76" i="3"/>
  <c r="FP76" i="3" s="1"/>
  <c r="KR94" i="3"/>
  <c r="KT93" i="3"/>
  <c r="KU93" i="3" s="1"/>
  <c r="LM96" i="3"/>
  <c r="LO95" i="3"/>
  <c r="AS58" i="3"/>
  <c r="AU57" i="3"/>
  <c r="AV57" i="3" s="1"/>
  <c r="HE81" i="3"/>
  <c r="HF81" i="3" s="1"/>
  <c r="HG80" i="3"/>
  <c r="HH80" i="3" s="1"/>
  <c r="IP85" i="3"/>
  <c r="IQ85" i="3" s="1"/>
  <c r="IN86" i="3"/>
  <c r="IO86" i="3" s="1"/>
  <c r="X54" i="3"/>
  <c r="Z53" i="3"/>
  <c r="AA53" i="3" s="1"/>
  <c r="Y54" i="3"/>
  <c r="GE76" i="3"/>
  <c r="GF76" i="3" s="1"/>
  <c r="GC77" i="3"/>
  <c r="AN56" i="3"/>
  <c r="AO56" i="3" s="1"/>
  <c r="AL57" i="3"/>
  <c r="AM57" i="3" s="1"/>
  <c r="LF95" i="3"/>
  <c r="LH94" i="3"/>
  <c r="LI94" i="3" s="1"/>
  <c r="DR68" i="3"/>
  <c r="DS68" i="3" s="1"/>
  <c r="DT67" i="3"/>
  <c r="DU67" i="3" s="1"/>
  <c r="DK67" i="3"/>
  <c r="DL67" i="3" s="1"/>
  <c r="DM66" i="3"/>
  <c r="DN66" i="3" s="1"/>
  <c r="JW91" i="3"/>
  <c r="JX91" i="3" s="1"/>
  <c r="JY90" i="3"/>
  <c r="JZ90" i="3" s="1"/>
  <c r="HL82" i="3"/>
  <c r="HN81" i="3"/>
  <c r="HO81" i="3" s="1"/>
  <c r="GJ77" i="3"/>
  <c r="GL76" i="3"/>
  <c r="GM76" i="3" s="1"/>
  <c r="KY96" i="3"/>
  <c r="LA95" i="3"/>
  <c r="LB95" i="3" s="1"/>
  <c r="IU89" i="3"/>
  <c r="IV89" i="3" s="1"/>
  <c r="IW88" i="3"/>
  <c r="IX88" i="3" s="1"/>
  <c r="JJ87" i="3"/>
  <c r="JD87" i="3"/>
  <c r="JE87" i="3" s="1"/>
  <c r="JB88" i="3"/>
  <c r="JC88" i="3" s="1"/>
  <c r="CI63" i="3"/>
  <c r="CJ63" i="3" s="1"/>
  <c r="CK62" i="3"/>
  <c r="CL62" i="3" s="1"/>
  <c r="HZ84" i="3"/>
  <c r="IB83" i="3"/>
  <c r="EO71" i="3"/>
  <c r="EP71" i="3" s="1"/>
  <c r="EM72" i="3"/>
  <c r="EN72" i="3" s="1"/>
  <c r="NI53" i="3"/>
  <c r="Q54" i="3"/>
  <c r="R54" i="3" s="1"/>
  <c r="S53" i="3"/>
  <c r="T53" i="3" s="1"/>
  <c r="GY79" i="3"/>
  <c r="FX75" i="3"/>
  <c r="FV76" i="3"/>
  <c r="CP64" i="3"/>
  <c r="CQ64" i="3" s="1"/>
  <c r="CR63" i="3"/>
  <c r="CS63" i="3" s="1"/>
  <c r="II84" i="3"/>
  <c r="IJ84" i="3" s="1"/>
  <c r="IG85" i="3"/>
  <c r="IH85" i="3" s="1"/>
  <c r="ET72" i="3"/>
  <c r="EV71" i="3"/>
  <c r="EW71" i="3" s="1"/>
  <c r="JP90" i="3"/>
  <c r="JQ90" i="3" s="1"/>
  <c r="JR89" i="3"/>
  <c r="JS89" i="3" s="1"/>
  <c r="CW66" i="3"/>
  <c r="CY65" i="3"/>
  <c r="CZ65" i="3" s="1"/>
  <c r="BO60" i="3"/>
  <c r="HT82" i="3"/>
  <c r="LP95" i="3"/>
  <c r="FB71" i="3"/>
  <c r="CB62" i="3"/>
  <c r="CC62" i="3" s="1"/>
  <c r="CD61" i="3"/>
  <c r="CE61" i="3" s="1"/>
  <c r="AE55" i="3"/>
  <c r="AF55" i="3" s="1"/>
  <c r="AG54" i="3"/>
  <c r="AH54" i="3" s="1"/>
  <c r="KL92" i="3"/>
  <c r="DD66" i="3"/>
  <c r="DE66" i="3" s="1"/>
  <c r="DF65" i="3"/>
  <c r="DG65" i="3" s="1"/>
  <c r="GR79" i="3"/>
  <c r="EG69" i="3"/>
  <c r="IC83" i="3"/>
  <c r="BA59" i="3"/>
  <c r="FY75" i="3"/>
  <c r="F35" i="3"/>
  <c r="G36" i="3"/>
  <c r="J35" i="3"/>
  <c r="K36" i="3"/>
  <c r="NF53" i="3" l="1"/>
  <c r="EF70" i="3"/>
  <c r="EG70" i="3" s="1"/>
  <c r="EH69" i="3"/>
  <c r="EI69" i="3" s="1"/>
  <c r="DD67" i="3"/>
  <c r="DE67" i="3" s="1"/>
  <c r="DF66" i="3"/>
  <c r="DG66" i="3" s="1"/>
  <c r="CD62" i="3"/>
  <c r="CE62" i="3" s="1"/>
  <c r="CB63" i="3"/>
  <c r="CC63" i="3" s="1"/>
  <c r="FA72" i="3"/>
  <c r="FB72" i="3" s="1"/>
  <c r="FC71" i="3"/>
  <c r="FD71" i="3" s="1"/>
  <c r="HS83" i="3"/>
  <c r="HT83" i="3" s="1"/>
  <c r="HU82" i="3"/>
  <c r="HV82" i="3" s="1"/>
  <c r="JP91" i="3"/>
  <c r="JQ91" i="3" s="1"/>
  <c r="JR90" i="3"/>
  <c r="JS90" i="3" s="1"/>
  <c r="IG86" i="3"/>
  <c r="II85" i="3"/>
  <c r="IJ85" i="3" s="1"/>
  <c r="GX80" i="3"/>
  <c r="GZ79" i="3"/>
  <c r="HA79" i="3" s="1"/>
  <c r="EM73" i="3"/>
  <c r="EN73" i="3" s="1"/>
  <c r="EO72" i="3"/>
  <c r="EP72" i="3" s="1"/>
  <c r="CI64" i="3"/>
  <c r="CK63" i="3"/>
  <c r="CL63" i="3" s="1"/>
  <c r="DK68" i="3"/>
  <c r="DM67" i="3"/>
  <c r="DR69" i="3"/>
  <c r="DS69" i="3" s="1"/>
  <c r="DT68" i="3"/>
  <c r="DU68" i="3" s="1"/>
  <c r="AL58" i="3"/>
  <c r="AN57" i="3"/>
  <c r="AO57" i="3" s="1"/>
  <c r="Z54" i="3"/>
  <c r="AA54" i="3" s="1"/>
  <c r="X55" i="3"/>
  <c r="HE82" i="3"/>
  <c r="HF82" i="3" s="1"/>
  <c r="HG81" i="3"/>
  <c r="HH81" i="3" s="1"/>
  <c r="FO77" i="3"/>
  <c r="FQ76" i="3"/>
  <c r="FR76" i="3" s="1"/>
  <c r="BU62" i="3"/>
  <c r="BW61" i="3"/>
  <c r="BX61" i="3" s="1"/>
  <c r="AE56" i="3"/>
  <c r="AG55" i="3"/>
  <c r="AH55" i="3" s="1"/>
  <c r="BP60" i="3"/>
  <c r="BQ60" i="3" s="1"/>
  <c r="BN61" i="3"/>
  <c r="BO61" i="3" s="1"/>
  <c r="CR64" i="3"/>
  <c r="CP65" i="3"/>
  <c r="CQ65" i="3" s="1"/>
  <c r="NI54" i="3"/>
  <c r="S54" i="3"/>
  <c r="T54" i="3" s="1"/>
  <c r="Q55" i="3"/>
  <c r="JB89" i="3"/>
  <c r="JD88" i="3"/>
  <c r="JE88" i="3" s="1"/>
  <c r="IU90" i="3"/>
  <c r="IW89" i="3"/>
  <c r="IX89" i="3" s="1"/>
  <c r="JW92" i="3"/>
  <c r="JY91" i="3"/>
  <c r="JZ91" i="3" s="1"/>
  <c r="IN87" i="3"/>
  <c r="IP86" i="3"/>
  <c r="IQ86" i="3" s="1"/>
  <c r="AT58" i="3"/>
  <c r="BG60" i="3"/>
  <c r="BI59" i="3"/>
  <c r="BJ59" i="3" s="1"/>
  <c r="EA69" i="3"/>
  <c r="DY70" i="3"/>
  <c r="AZ60" i="3"/>
  <c r="BB59" i="3"/>
  <c r="BC59" i="3" s="1"/>
  <c r="GQ80" i="3"/>
  <c r="GS79" i="3"/>
  <c r="GT79" i="3" s="1"/>
  <c r="FW76" i="3"/>
  <c r="JK87" i="3"/>
  <c r="JL87" i="3" s="1"/>
  <c r="JI88" i="3"/>
  <c r="JJ88" i="3" s="1"/>
  <c r="KZ96" i="3"/>
  <c r="LA96" i="3" s="1"/>
  <c r="LB96" i="3" s="1"/>
  <c r="HM82" i="3"/>
  <c r="DN67" i="3"/>
  <c r="LN96" i="3"/>
  <c r="LO96" i="3" s="1"/>
  <c r="LP96" i="3" s="1"/>
  <c r="FI73" i="3"/>
  <c r="KK93" i="3"/>
  <c r="KM92" i="3"/>
  <c r="KN92" i="3" s="1"/>
  <c r="CX66" i="3"/>
  <c r="EU72" i="3"/>
  <c r="CS64" i="3"/>
  <c r="IA84" i="3"/>
  <c r="GK77" i="3"/>
  <c r="LG95" i="3"/>
  <c r="GD77" i="3"/>
  <c r="KS94" i="3"/>
  <c r="KE92" i="3"/>
  <c r="EB69" i="3"/>
  <c r="F34" i="3"/>
  <c r="G35" i="3"/>
  <c r="J34" i="3"/>
  <c r="K35" i="3"/>
  <c r="NF54" i="3" l="1"/>
  <c r="HZ85" i="3"/>
  <c r="IA85" i="3" s="1"/>
  <c r="IB84" i="3"/>
  <c r="IC84" i="3" s="1"/>
  <c r="CW67" i="3"/>
  <c r="CY66" i="3"/>
  <c r="CZ66" i="3" s="1"/>
  <c r="CP66" i="3"/>
  <c r="CQ66" i="3" s="1"/>
  <c r="CR65" i="3"/>
  <c r="CS65" i="3" s="1"/>
  <c r="BN62" i="3"/>
  <c r="BO62" i="3" s="1"/>
  <c r="BP61" i="3"/>
  <c r="DR70" i="3"/>
  <c r="DS70" i="3" s="1"/>
  <c r="DT69" i="3"/>
  <c r="DU69" i="3" s="1"/>
  <c r="EO73" i="3"/>
  <c r="EP73" i="3" s="1"/>
  <c r="EM74" i="3"/>
  <c r="EN74" i="3" s="1"/>
  <c r="JR91" i="3"/>
  <c r="JS91" i="3" s="1"/>
  <c r="JP92" i="3"/>
  <c r="JQ92" i="3" s="1"/>
  <c r="FC72" i="3"/>
  <c r="FD72" i="3" s="1"/>
  <c r="FA73" i="3"/>
  <c r="DD68" i="3"/>
  <c r="DE68" i="3" s="1"/>
  <c r="DF67" i="3"/>
  <c r="DG67" i="3" s="1"/>
  <c r="KD93" i="3"/>
  <c r="KF92" i="3"/>
  <c r="KG92" i="3" s="1"/>
  <c r="GL77" i="3"/>
  <c r="GM77" i="3" s="1"/>
  <c r="GJ78" i="3"/>
  <c r="GK78" i="3" s="1"/>
  <c r="FH74" i="3"/>
  <c r="FJ73" i="3"/>
  <c r="FK73" i="3" s="1"/>
  <c r="HN82" i="3"/>
  <c r="HO82" i="3" s="1"/>
  <c r="HL83" i="3"/>
  <c r="JI89" i="3"/>
  <c r="JK88" i="3"/>
  <c r="JL88" i="3" s="1"/>
  <c r="FV77" i="3"/>
  <c r="FX76" i="3"/>
  <c r="FY76" i="3" s="1"/>
  <c r="AS59" i="3"/>
  <c r="AU58" i="3"/>
  <c r="AV58" i="3" s="1"/>
  <c r="HE83" i="3"/>
  <c r="HG82" i="3"/>
  <c r="HU83" i="3"/>
  <c r="HV83" i="3" s="1"/>
  <c r="HS84" i="3"/>
  <c r="CB64" i="3"/>
  <c r="CD63" i="3"/>
  <c r="EF71" i="3"/>
  <c r="EH70" i="3"/>
  <c r="EI70" i="3" s="1"/>
  <c r="GC78" i="3"/>
  <c r="GD78" i="3" s="1"/>
  <c r="GE77" i="3"/>
  <c r="GF77" i="3" s="1"/>
  <c r="KL93" i="3"/>
  <c r="BA60" i="3"/>
  <c r="IO87" i="3"/>
  <c r="IV90" i="3"/>
  <c r="BQ61" i="3"/>
  <c r="FP77" i="3"/>
  <c r="Y55" i="3"/>
  <c r="KR95" i="3"/>
  <c r="KS95" i="3" s="1"/>
  <c r="KT94" i="3"/>
  <c r="KU94" i="3" s="1"/>
  <c r="LH95" i="3"/>
  <c r="LI95" i="3" s="1"/>
  <c r="LF96" i="3"/>
  <c r="LG96" i="3" s="1"/>
  <c r="LH96" i="3" s="1"/>
  <c r="ET73" i="3"/>
  <c r="EV72" i="3"/>
  <c r="EW72" i="3" s="1"/>
  <c r="GR80" i="3"/>
  <c r="DZ70" i="3"/>
  <c r="BH60" i="3"/>
  <c r="JX92" i="3"/>
  <c r="JC89" i="3"/>
  <c r="R55" i="3"/>
  <c r="AF56" i="3"/>
  <c r="BV62" i="3"/>
  <c r="HH82" i="3"/>
  <c r="AM58" i="3"/>
  <c r="DL68" i="3"/>
  <c r="CJ64" i="3"/>
  <c r="GY80" i="3"/>
  <c r="IH86" i="3"/>
  <c r="CE63" i="3"/>
  <c r="F33" i="3"/>
  <c r="G34" i="3"/>
  <c r="J33" i="3"/>
  <c r="K34" i="3"/>
  <c r="GX81" i="3" l="1"/>
  <c r="GZ80" i="3"/>
  <c r="HA80" i="3" s="1"/>
  <c r="AN58" i="3"/>
  <c r="AO58" i="3" s="1"/>
  <c r="AL59" i="3"/>
  <c r="AM59" i="3" s="1"/>
  <c r="NI55" i="3"/>
  <c r="Q56" i="3"/>
  <c r="S55" i="3"/>
  <c r="T55" i="3" s="1"/>
  <c r="DY71" i="3"/>
  <c r="EA70" i="3"/>
  <c r="EB70" i="3" s="1"/>
  <c r="X56" i="3"/>
  <c r="Z55" i="3"/>
  <c r="AA55" i="3" s="1"/>
  <c r="IN88" i="3"/>
  <c r="IO88" i="3" s="1"/>
  <c r="IP87" i="3"/>
  <c r="IQ87" i="3" s="1"/>
  <c r="GC79" i="3"/>
  <c r="GE78" i="3"/>
  <c r="GF78" i="3" s="1"/>
  <c r="EM75" i="3"/>
  <c r="EO74" i="3"/>
  <c r="EP74" i="3" s="1"/>
  <c r="CI65" i="3"/>
  <c r="CK64" i="3"/>
  <c r="CL64" i="3" s="1"/>
  <c r="JB90" i="3"/>
  <c r="JD89" i="3"/>
  <c r="JE89" i="3" s="1"/>
  <c r="GQ81" i="3"/>
  <c r="GS80" i="3"/>
  <c r="GT80" i="3" s="1"/>
  <c r="EU73" i="3"/>
  <c r="KR96" i="3"/>
  <c r="KT95" i="3"/>
  <c r="KU95" i="3" s="1"/>
  <c r="FO78" i="3"/>
  <c r="FQ77" i="3"/>
  <c r="FR77" i="3" s="1"/>
  <c r="EG71" i="3"/>
  <c r="HF83" i="3"/>
  <c r="GJ79" i="3"/>
  <c r="GK79" i="3" s="1"/>
  <c r="GL78" i="3"/>
  <c r="GM78" i="3" s="1"/>
  <c r="DF68" i="3"/>
  <c r="DD69" i="3"/>
  <c r="DE69" i="3" s="1"/>
  <c r="JP93" i="3"/>
  <c r="JR92" i="3"/>
  <c r="JS92" i="3" s="1"/>
  <c r="DT70" i="3"/>
  <c r="DR71" i="3"/>
  <c r="BP62" i="3"/>
  <c r="BQ62" i="3" s="1"/>
  <c r="BN63" i="3"/>
  <c r="CR66" i="3"/>
  <c r="CS66" i="3" s="1"/>
  <c r="CP67" i="3"/>
  <c r="CQ67" i="3" s="1"/>
  <c r="IB85" i="3"/>
  <c r="IC85" i="3" s="1"/>
  <c r="HZ86" i="3"/>
  <c r="IA86" i="3" s="1"/>
  <c r="DK69" i="3"/>
  <c r="DL69" i="3" s="1"/>
  <c r="DM68" i="3"/>
  <c r="DN68" i="3" s="1"/>
  <c r="BU63" i="3"/>
  <c r="BW62" i="3"/>
  <c r="BX62" i="3" s="1"/>
  <c r="BV63" i="3"/>
  <c r="JW93" i="3"/>
  <c r="JX93" i="3" s="1"/>
  <c r="JY92" i="3"/>
  <c r="JZ92" i="3" s="1"/>
  <c r="LI96" i="3"/>
  <c r="BA61" i="3"/>
  <c r="BB60" i="3"/>
  <c r="BC60" i="3" s="1"/>
  <c r="AZ61" i="3"/>
  <c r="CC64" i="3"/>
  <c r="AT59" i="3"/>
  <c r="JJ89" i="3"/>
  <c r="FI74" i="3"/>
  <c r="KE93" i="3"/>
  <c r="FB73" i="3"/>
  <c r="CX67" i="3"/>
  <c r="IG87" i="3"/>
  <c r="II86" i="3"/>
  <c r="IJ86" i="3" s="1"/>
  <c r="AE57" i="3"/>
  <c r="AG56" i="3"/>
  <c r="AH56" i="3" s="1"/>
  <c r="BG61" i="3"/>
  <c r="BI60" i="3"/>
  <c r="BJ60" i="3" s="1"/>
  <c r="IW90" i="3"/>
  <c r="IX90" i="3" s="1"/>
  <c r="IU91" i="3"/>
  <c r="IV91" i="3" s="1"/>
  <c r="KK94" i="3"/>
  <c r="KM93" i="3"/>
  <c r="KN93" i="3" s="1"/>
  <c r="HT84" i="3"/>
  <c r="FW77" i="3"/>
  <c r="HM83" i="3"/>
  <c r="DG68" i="3"/>
  <c r="DU70" i="3"/>
  <c r="F32" i="3"/>
  <c r="G33" i="3"/>
  <c r="J32" i="3"/>
  <c r="K33" i="3"/>
  <c r="CY67" i="3" l="1"/>
  <c r="CZ67" i="3" s="1"/>
  <c r="CW68" i="3"/>
  <c r="KD94" i="3"/>
  <c r="KF93" i="3"/>
  <c r="KG93" i="3" s="1"/>
  <c r="KE94" i="3"/>
  <c r="CC65" i="3"/>
  <c r="CD64" i="3"/>
  <c r="CE64" i="3" s="1"/>
  <c r="CB65" i="3"/>
  <c r="AZ62" i="3"/>
  <c r="BB61" i="3"/>
  <c r="BC61" i="3" s="1"/>
  <c r="JW94" i="3"/>
  <c r="JX94" i="3"/>
  <c r="JY93" i="3"/>
  <c r="JZ93" i="3" s="1"/>
  <c r="DM69" i="3"/>
  <c r="DN69" i="3" s="1"/>
  <c r="DK70" i="3"/>
  <c r="CP68" i="3"/>
  <c r="CR67" i="3"/>
  <c r="DD70" i="3"/>
  <c r="DF69" i="3"/>
  <c r="ET74" i="3"/>
  <c r="EV73" i="3"/>
  <c r="EW73" i="3" s="1"/>
  <c r="IN89" i="3"/>
  <c r="IP88" i="3"/>
  <c r="AL60" i="3"/>
  <c r="AN59" i="3"/>
  <c r="AO59" i="3" s="1"/>
  <c r="HL84" i="3"/>
  <c r="HM84" i="3" s="1"/>
  <c r="HN83" i="3"/>
  <c r="HO83" i="3" s="1"/>
  <c r="IW91" i="3"/>
  <c r="IX91" i="3" s="1"/>
  <c r="IU92" i="3"/>
  <c r="FJ74" i="3"/>
  <c r="FK74" i="3" s="1"/>
  <c r="FH75" i="3"/>
  <c r="BW63" i="3"/>
  <c r="BX63" i="3" s="1"/>
  <c r="BU64" i="3"/>
  <c r="HZ87" i="3"/>
  <c r="IB86" i="3"/>
  <c r="IC86" i="3" s="1"/>
  <c r="GJ80" i="3"/>
  <c r="GL79" i="3"/>
  <c r="GM79" i="3" s="1"/>
  <c r="EF72" i="3"/>
  <c r="EH71" i="3"/>
  <c r="EI71" i="3" s="1"/>
  <c r="FV78" i="3"/>
  <c r="FW78" i="3" s="1"/>
  <c r="FX77" i="3"/>
  <c r="FY77" i="3" s="1"/>
  <c r="KL94" i="3"/>
  <c r="AF57" i="3"/>
  <c r="JI90" i="3"/>
  <c r="JJ90" i="3" s="1"/>
  <c r="JK89" i="3"/>
  <c r="JL89" i="3" s="1"/>
  <c r="CS67" i="3"/>
  <c r="DS71" i="3"/>
  <c r="DG69" i="3"/>
  <c r="FP78" i="3"/>
  <c r="JC90" i="3"/>
  <c r="IQ88" i="3"/>
  <c r="NF55" i="3"/>
  <c r="HS85" i="3"/>
  <c r="HU84" i="3"/>
  <c r="HV84" i="3" s="1"/>
  <c r="BH61" i="3"/>
  <c r="IH87" i="3"/>
  <c r="FC73" i="3"/>
  <c r="FD73" i="3" s="1"/>
  <c r="FA74" i="3"/>
  <c r="AU59" i="3"/>
  <c r="AV59" i="3" s="1"/>
  <c r="AS60" i="3"/>
  <c r="AT60" i="3" s="1"/>
  <c r="BO63" i="3"/>
  <c r="JQ93" i="3"/>
  <c r="HG83" i="3"/>
  <c r="HH83" i="3" s="1"/>
  <c r="HE84" i="3"/>
  <c r="KS96" i="3"/>
  <c r="KT96" i="3" s="1"/>
  <c r="KU96" i="3" s="1"/>
  <c r="GR81" i="3"/>
  <c r="CJ65" i="3"/>
  <c r="EN75" i="3"/>
  <c r="GD79" i="3"/>
  <c r="Y56" i="3"/>
  <c r="DZ71" i="3"/>
  <c r="R56" i="3"/>
  <c r="GY81" i="3"/>
  <c r="F31" i="3"/>
  <c r="G32" i="3"/>
  <c r="J31" i="3"/>
  <c r="K32" i="3"/>
  <c r="GX82" i="3" l="1"/>
  <c r="GY82" i="3" s="1"/>
  <c r="GZ81" i="3"/>
  <c r="HA81" i="3" s="1"/>
  <c r="GC80" i="3"/>
  <c r="GE79" i="3"/>
  <c r="GF79" i="3" s="1"/>
  <c r="AS61" i="3"/>
  <c r="AU60" i="3"/>
  <c r="AV60" i="3" s="1"/>
  <c r="IG88" i="3"/>
  <c r="IH88" i="3" s="1"/>
  <c r="II87" i="3"/>
  <c r="IJ87" i="3" s="1"/>
  <c r="DR72" i="3"/>
  <c r="DS72" i="3" s="1"/>
  <c r="DT71" i="3"/>
  <c r="DU71" i="3" s="1"/>
  <c r="JK90" i="3"/>
  <c r="JL90" i="3" s="1"/>
  <c r="JI91" i="3"/>
  <c r="JJ91" i="3" s="1"/>
  <c r="AG57" i="3"/>
  <c r="AH57" i="3" s="1"/>
  <c r="AE58" i="3"/>
  <c r="AF58" i="3" s="1"/>
  <c r="FV79" i="3"/>
  <c r="FW79" i="3" s="1"/>
  <c r="FX78" i="3"/>
  <c r="HL85" i="3"/>
  <c r="HN84" i="3"/>
  <c r="HO84" i="3" s="1"/>
  <c r="CB66" i="3"/>
  <c r="CD65" i="3"/>
  <c r="NI56" i="3"/>
  <c r="S56" i="3"/>
  <c r="T56" i="3" s="1"/>
  <c r="Q57" i="3"/>
  <c r="EM76" i="3"/>
  <c r="EN76" i="3" s="1"/>
  <c r="EO75" i="3"/>
  <c r="EP75" i="3" s="1"/>
  <c r="JP94" i="3"/>
  <c r="JR93" i="3"/>
  <c r="JS93" i="3" s="1"/>
  <c r="BI61" i="3"/>
  <c r="BJ61" i="3" s="1"/>
  <c r="BG62" i="3"/>
  <c r="BH62" i="3" s="1"/>
  <c r="KM94" i="3"/>
  <c r="KN94" i="3" s="1"/>
  <c r="KK95" i="3"/>
  <c r="KL95" i="3" s="1"/>
  <c r="IO89" i="3"/>
  <c r="JW95" i="3"/>
  <c r="JY94" i="3"/>
  <c r="JZ94" i="3" s="1"/>
  <c r="KF94" i="3"/>
  <c r="KG94" i="3" s="1"/>
  <c r="KD95" i="3"/>
  <c r="KE95" i="3" s="1"/>
  <c r="EA71" i="3"/>
  <c r="EB71" i="3" s="1"/>
  <c r="DY72" i="3"/>
  <c r="CK65" i="3"/>
  <c r="CL65" i="3" s="1"/>
  <c r="CI66" i="3"/>
  <c r="BN64" i="3"/>
  <c r="BP63" i="3"/>
  <c r="BQ63" i="3" s="1"/>
  <c r="FQ78" i="3"/>
  <c r="FR78" i="3" s="1"/>
  <c r="FO79" i="3"/>
  <c r="FP79" i="3" s="1"/>
  <c r="EG72" i="3"/>
  <c r="IA87" i="3"/>
  <c r="FI75" i="3"/>
  <c r="IV92" i="3"/>
  <c r="EU74" i="3"/>
  <c r="DE70" i="3"/>
  <c r="CQ68" i="3"/>
  <c r="CE65" i="3"/>
  <c r="CX68" i="3"/>
  <c r="Z56" i="3"/>
  <c r="AA56" i="3" s="1"/>
  <c r="X57" i="3"/>
  <c r="Y57" i="3" s="1"/>
  <c r="GQ82" i="3"/>
  <c r="GS81" i="3"/>
  <c r="GT81" i="3" s="1"/>
  <c r="HF84" i="3"/>
  <c r="FB74" i="3"/>
  <c r="HT85" i="3"/>
  <c r="JB91" i="3"/>
  <c r="JC91" i="3" s="1"/>
  <c r="JD90" i="3"/>
  <c r="JE90" i="3" s="1"/>
  <c r="FY78" i="3"/>
  <c r="GK80" i="3"/>
  <c r="BV64" i="3"/>
  <c r="AM60" i="3"/>
  <c r="DL70" i="3"/>
  <c r="BA62" i="3"/>
  <c r="F30" i="3"/>
  <c r="G31" i="3"/>
  <c r="J30" i="3"/>
  <c r="K31" i="3"/>
  <c r="NF56" i="3" l="1"/>
  <c r="DK71" i="3"/>
  <c r="DL71" i="3" s="1"/>
  <c r="DM70" i="3"/>
  <c r="DN70" i="3" s="1"/>
  <c r="HT86" i="3"/>
  <c r="HS86" i="3"/>
  <c r="HU85" i="3"/>
  <c r="HV85" i="3" s="1"/>
  <c r="X58" i="3"/>
  <c r="Z57" i="3"/>
  <c r="AA57" i="3" s="1"/>
  <c r="CP69" i="3"/>
  <c r="CR68" i="3"/>
  <c r="CS68" i="3" s="1"/>
  <c r="IU93" i="3"/>
  <c r="IW92" i="3"/>
  <c r="IX92" i="3" s="1"/>
  <c r="IV93" i="3"/>
  <c r="EG73" i="3"/>
  <c r="EH72" i="3"/>
  <c r="EI72" i="3" s="1"/>
  <c r="EF73" i="3"/>
  <c r="FO80" i="3"/>
  <c r="FQ79" i="3"/>
  <c r="FR79" i="3" s="1"/>
  <c r="BG63" i="3"/>
  <c r="BI62" i="3"/>
  <c r="BJ62" i="3" s="1"/>
  <c r="EM77" i="3"/>
  <c r="EO76" i="3"/>
  <c r="EP76" i="3" s="1"/>
  <c r="FV80" i="3"/>
  <c r="FW80" i="3" s="1"/>
  <c r="FX79" i="3"/>
  <c r="FY79" i="3" s="1"/>
  <c r="JI92" i="3"/>
  <c r="JJ92" i="3" s="1"/>
  <c r="JK91" i="3"/>
  <c r="JL91" i="3" s="1"/>
  <c r="IG89" i="3"/>
  <c r="II88" i="3"/>
  <c r="IJ88" i="3" s="1"/>
  <c r="AL61" i="3"/>
  <c r="AN60" i="3"/>
  <c r="AO60" i="3" s="1"/>
  <c r="JB92" i="3"/>
  <c r="JD91" i="3"/>
  <c r="JE91" i="3" s="1"/>
  <c r="FA75" i="3"/>
  <c r="FC74" i="3"/>
  <c r="FD74" i="3" s="1"/>
  <c r="CW69" i="3"/>
  <c r="CY68" i="3"/>
  <c r="CZ68" i="3" s="1"/>
  <c r="DD71" i="3"/>
  <c r="DF70" i="3"/>
  <c r="DG70" i="3" s="1"/>
  <c r="FH76" i="3"/>
  <c r="FI76" i="3" s="1"/>
  <c r="FJ75" i="3"/>
  <c r="FK75" i="3" s="1"/>
  <c r="KD96" i="3"/>
  <c r="KE96" i="3" s="1"/>
  <c r="KF96" i="3" s="1"/>
  <c r="KF95" i="3"/>
  <c r="KG95" i="3" s="1"/>
  <c r="AE59" i="3"/>
  <c r="AG58" i="3"/>
  <c r="AH58" i="3" s="1"/>
  <c r="DT72" i="3"/>
  <c r="DR73" i="3"/>
  <c r="GZ82" i="3"/>
  <c r="HA82" i="3" s="1"/>
  <c r="GX83" i="3"/>
  <c r="BU65" i="3"/>
  <c r="BV65" i="3" s="1"/>
  <c r="BW64" i="3"/>
  <c r="BX64" i="3" s="1"/>
  <c r="HE85" i="3"/>
  <c r="HG84" i="3"/>
  <c r="HH84" i="3" s="1"/>
  <c r="EU75" i="3"/>
  <c r="EV74" i="3"/>
  <c r="EW74" i="3" s="1"/>
  <c r="ET75" i="3"/>
  <c r="HZ88" i="3"/>
  <c r="IB87" i="3"/>
  <c r="IC87" i="3" s="1"/>
  <c r="BO64" i="3"/>
  <c r="DZ72" i="3"/>
  <c r="KM95" i="3"/>
  <c r="KK96" i="3"/>
  <c r="JQ94" i="3"/>
  <c r="CC66" i="3"/>
  <c r="GD80" i="3"/>
  <c r="AZ63" i="3"/>
  <c r="BA63" i="3" s="1"/>
  <c r="BB62" i="3"/>
  <c r="BC62" i="3" s="1"/>
  <c r="GJ81" i="3"/>
  <c r="GL80" i="3"/>
  <c r="GM80" i="3" s="1"/>
  <c r="GR82" i="3"/>
  <c r="CJ66" i="3"/>
  <c r="JX95" i="3"/>
  <c r="IN90" i="3"/>
  <c r="IO90" i="3" s="1"/>
  <c r="IP89" i="3"/>
  <c r="IQ89" i="3" s="1"/>
  <c r="KN95" i="3"/>
  <c r="R57" i="3"/>
  <c r="HM85" i="3"/>
  <c r="DU72" i="3"/>
  <c r="AT61" i="3"/>
  <c r="F29" i="3"/>
  <c r="G30" i="3"/>
  <c r="J29" i="3"/>
  <c r="K30" i="3"/>
  <c r="AU61" i="3" l="1"/>
  <c r="AV61" i="3" s="1"/>
  <c r="AS62" i="3"/>
  <c r="NI57" i="3"/>
  <c r="Q58" i="3"/>
  <c r="S57" i="3"/>
  <c r="T57" i="3" s="1"/>
  <c r="NF57" i="3" s="1"/>
  <c r="R58" i="3"/>
  <c r="IN91" i="3"/>
  <c r="IP90" i="3"/>
  <c r="CI67" i="3"/>
  <c r="CK66" i="3"/>
  <c r="CL66" i="3" s="1"/>
  <c r="AZ64" i="3"/>
  <c r="BA64" i="3" s="1"/>
  <c r="BB63" i="3"/>
  <c r="BC63" i="3" s="1"/>
  <c r="DY73" i="3"/>
  <c r="DZ73" i="3" s="1"/>
  <c r="EA72" i="3"/>
  <c r="EB72" i="3" s="1"/>
  <c r="EV75" i="3"/>
  <c r="EW75" i="3" s="1"/>
  <c r="ET76" i="3"/>
  <c r="FH77" i="3"/>
  <c r="FJ76" i="3"/>
  <c r="FK76" i="3" s="1"/>
  <c r="JI93" i="3"/>
  <c r="JK92" i="3"/>
  <c r="JL92" i="3" s="1"/>
  <c r="FV81" i="3"/>
  <c r="FX80" i="3"/>
  <c r="FY80" i="3" s="1"/>
  <c r="EF74" i="3"/>
  <c r="EG74" i="3" s="1"/>
  <c r="EH73" i="3"/>
  <c r="EI73" i="3" s="1"/>
  <c r="HS87" i="3"/>
  <c r="HU86" i="3"/>
  <c r="HV86" i="3" s="1"/>
  <c r="IQ90" i="3"/>
  <c r="GS82" i="3"/>
  <c r="GT82" i="3" s="1"/>
  <c r="GQ83" i="3"/>
  <c r="GR83" i="3" s="1"/>
  <c r="GC81" i="3"/>
  <c r="GD81" i="3" s="1"/>
  <c r="GE80" i="3"/>
  <c r="GF80" i="3" s="1"/>
  <c r="BN65" i="3"/>
  <c r="BO65" i="3" s="1"/>
  <c r="BP64" i="3"/>
  <c r="BQ64" i="3" s="1"/>
  <c r="IA88" i="3"/>
  <c r="BW65" i="3"/>
  <c r="BU66" i="3"/>
  <c r="BV66" i="3" s="1"/>
  <c r="DE71" i="3"/>
  <c r="IW93" i="3"/>
  <c r="IX93" i="3" s="1"/>
  <c r="IU94" i="3"/>
  <c r="DK72" i="3"/>
  <c r="DM71" i="3"/>
  <c r="DN71" i="3" s="1"/>
  <c r="JW96" i="3"/>
  <c r="JX96" i="3" s="1"/>
  <c r="JY96" i="3" s="1"/>
  <c r="JY95" i="3"/>
  <c r="JZ95" i="3" s="1"/>
  <c r="CB67" i="3"/>
  <c r="CC67" i="3" s="1"/>
  <c r="CD66" i="3"/>
  <c r="CE66" i="3" s="1"/>
  <c r="HF85" i="3"/>
  <c r="GY83" i="3"/>
  <c r="DS73" i="3"/>
  <c r="KG96" i="3"/>
  <c r="CX69" i="3"/>
  <c r="FB75" i="3"/>
  <c r="AM61" i="3"/>
  <c r="IH89" i="3"/>
  <c r="EN77" i="3"/>
  <c r="BH63" i="3"/>
  <c r="CQ69" i="3"/>
  <c r="HL86" i="3"/>
  <c r="HM86" i="3" s="1"/>
  <c r="HN85" i="3"/>
  <c r="HO85" i="3" s="1"/>
  <c r="GK81" i="3"/>
  <c r="JR94" i="3"/>
  <c r="JS94" i="3" s="1"/>
  <c r="JP95" i="3"/>
  <c r="JQ95" i="3" s="1"/>
  <c r="KL96" i="3"/>
  <c r="KM96" i="3" s="1"/>
  <c r="KN96" i="3" s="1"/>
  <c r="BX65" i="3"/>
  <c r="AF59" i="3"/>
  <c r="JC92" i="3"/>
  <c r="FP80" i="3"/>
  <c r="Y58" i="3"/>
  <c r="F28" i="3"/>
  <c r="G29" i="3"/>
  <c r="J28" i="3"/>
  <c r="K29" i="3"/>
  <c r="AE60" i="3" l="1"/>
  <c r="AG59" i="3"/>
  <c r="AH59" i="3" s="1"/>
  <c r="HN86" i="3"/>
  <c r="HO86" i="3" s="1"/>
  <c r="HL87" i="3"/>
  <c r="HM87" i="3" s="1"/>
  <c r="AL62" i="3"/>
  <c r="AN61" i="3"/>
  <c r="AO61" i="3" s="1"/>
  <c r="HE86" i="3"/>
  <c r="HF86" i="3" s="1"/>
  <c r="HG85" i="3"/>
  <c r="HH85" i="3" s="1"/>
  <c r="CB68" i="3"/>
  <c r="CC68" i="3" s="1"/>
  <c r="CD67" i="3"/>
  <c r="CE67" i="3" s="1"/>
  <c r="DD72" i="3"/>
  <c r="DF71" i="3"/>
  <c r="DG71" i="3" s="1"/>
  <c r="BU67" i="3"/>
  <c r="BW66" i="3"/>
  <c r="BX66" i="3" s="1"/>
  <c r="BN66" i="3"/>
  <c r="BO66" i="3" s="1"/>
  <c r="BP65" i="3"/>
  <c r="BQ65" i="3" s="1"/>
  <c r="GC82" i="3"/>
  <c r="GD82" i="3" s="1"/>
  <c r="GE81" i="3"/>
  <c r="GF81" i="3" s="1"/>
  <c r="GQ84" i="3"/>
  <c r="GS83" i="3"/>
  <c r="GT83" i="3" s="1"/>
  <c r="BB64" i="3"/>
  <c r="BC64" i="3" s="1"/>
  <c r="AZ65" i="3"/>
  <c r="FQ80" i="3"/>
  <c r="FR80" i="3" s="1"/>
  <c r="FO81" i="3"/>
  <c r="JP96" i="3"/>
  <c r="JR95" i="3"/>
  <c r="JS95" i="3" s="1"/>
  <c r="BI63" i="3"/>
  <c r="BJ63" i="3" s="1"/>
  <c r="BG64" i="3"/>
  <c r="BH64" i="3" s="1"/>
  <c r="HZ89" i="3"/>
  <c r="IB88" i="3"/>
  <c r="IC88" i="3" s="1"/>
  <c r="EH74" i="3"/>
  <c r="EI74" i="3" s="1"/>
  <c r="EF75" i="3"/>
  <c r="EG75" i="3" s="1"/>
  <c r="DY74" i="3"/>
  <c r="DZ74" i="3" s="1"/>
  <c r="EA73" i="3"/>
  <c r="EB73" i="3" s="1"/>
  <c r="NI58" i="3"/>
  <c r="S58" i="3"/>
  <c r="T58" i="3" s="1"/>
  <c r="Q59" i="3"/>
  <c r="EO77" i="3"/>
  <c r="EP77" i="3" s="1"/>
  <c r="EM78" i="3"/>
  <c r="FA76" i="3"/>
  <c r="FB76" i="3" s="1"/>
  <c r="FC75" i="3"/>
  <c r="FD75" i="3" s="1"/>
  <c r="DR74" i="3"/>
  <c r="DT73" i="3"/>
  <c r="DU73" i="3" s="1"/>
  <c r="DL72" i="3"/>
  <c r="HT87" i="3"/>
  <c r="FW81" i="3"/>
  <c r="IO91" i="3"/>
  <c r="X59" i="3"/>
  <c r="Z58" i="3"/>
  <c r="AA58" i="3" s="1"/>
  <c r="JD92" i="3"/>
  <c r="JE92" i="3" s="1"/>
  <c r="JB93" i="3"/>
  <c r="GL81" i="3"/>
  <c r="GM81" i="3" s="1"/>
  <c r="GJ82" i="3"/>
  <c r="CR69" i="3"/>
  <c r="CS69" i="3" s="1"/>
  <c r="CP70" i="3"/>
  <c r="II89" i="3"/>
  <c r="IJ89" i="3" s="1"/>
  <c r="IG90" i="3"/>
  <c r="IH90" i="3" s="1"/>
  <c r="CW70" i="3"/>
  <c r="CY69" i="3"/>
  <c r="CZ69" i="3" s="1"/>
  <c r="GX84" i="3"/>
  <c r="GY84" i="3" s="1"/>
  <c r="GZ83" i="3"/>
  <c r="HA83" i="3" s="1"/>
  <c r="JZ96" i="3"/>
  <c r="IV94" i="3"/>
  <c r="JJ93" i="3"/>
  <c r="FI77" i="3"/>
  <c r="EU76" i="3"/>
  <c r="CJ67" i="3"/>
  <c r="AT62" i="3"/>
  <c r="F27" i="3"/>
  <c r="G28" i="3"/>
  <c r="J27" i="3"/>
  <c r="K28" i="3"/>
  <c r="NF58" i="3" l="1"/>
  <c r="FJ77" i="3"/>
  <c r="FK77" i="3" s="1"/>
  <c r="FH78" i="3"/>
  <c r="GX85" i="3"/>
  <c r="GZ84" i="3"/>
  <c r="HA84" i="3" s="1"/>
  <c r="IG91" i="3"/>
  <c r="II90" i="3"/>
  <c r="IJ90" i="3" s="1"/>
  <c r="DY75" i="3"/>
  <c r="EA74" i="3"/>
  <c r="BP66" i="3"/>
  <c r="BQ66" i="3" s="1"/>
  <c r="BN67" i="3"/>
  <c r="HG86" i="3"/>
  <c r="HH86" i="3" s="1"/>
  <c r="HE87" i="3"/>
  <c r="HL88" i="3"/>
  <c r="HM88" i="3" s="1"/>
  <c r="HN87" i="3"/>
  <c r="HO87" i="3" s="1"/>
  <c r="CK67" i="3"/>
  <c r="CL67" i="3" s="1"/>
  <c r="CI68" i="3"/>
  <c r="CJ68" i="3" s="1"/>
  <c r="JI94" i="3"/>
  <c r="JK93" i="3"/>
  <c r="JL93" i="3" s="1"/>
  <c r="IU95" i="3"/>
  <c r="IV95" i="3" s="1"/>
  <c r="IW94" i="3"/>
  <c r="IX94" i="3" s="1"/>
  <c r="CX70" i="3"/>
  <c r="Y59" i="3"/>
  <c r="FX81" i="3"/>
  <c r="FY81" i="3" s="1"/>
  <c r="FV82" i="3"/>
  <c r="FW82" i="3" s="1"/>
  <c r="DK73" i="3"/>
  <c r="DM72" i="3"/>
  <c r="DN72" i="3" s="1"/>
  <c r="FA77" i="3"/>
  <c r="FC76" i="3"/>
  <c r="FD76" i="3" s="1"/>
  <c r="EF76" i="3"/>
  <c r="EG76" i="3" s="1"/>
  <c r="EH75" i="3"/>
  <c r="EI75" i="3" s="1"/>
  <c r="BG65" i="3"/>
  <c r="BH65" i="3" s="1"/>
  <c r="BI64" i="3"/>
  <c r="BJ64" i="3" s="1"/>
  <c r="GE82" i="3"/>
  <c r="GF82" i="3" s="1"/>
  <c r="GC83" i="3"/>
  <c r="CD68" i="3"/>
  <c r="CE68" i="3" s="1"/>
  <c r="CB69" i="3"/>
  <c r="GK82" i="3"/>
  <c r="JC93" i="3"/>
  <c r="IN92" i="3"/>
  <c r="IO92" i="3" s="1"/>
  <c r="IP91" i="3"/>
  <c r="IQ91" i="3" s="1"/>
  <c r="HU87" i="3"/>
  <c r="HV87" i="3" s="1"/>
  <c r="HS88" i="3"/>
  <c r="DS74" i="3"/>
  <c r="EN78" i="3"/>
  <c r="R59" i="3"/>
  <c r="IA89" i="3"/>
  <c r="JQ96" i="3"/>
  <c r="JR96" i="3" s="1"/>
  <c r="JS96" i="3" s="1"/>
  <c r="GR84" i="3"/>
  <c r="DE72" i="3"/>
  <c r="AS63" i="3"/>
  <c r="AU62" i="3"/>
  <c r="AV62" i="3" s="1"/>
  <c r="ET77" i="3"/>
  <c r="EU77" i="3" s="1"/>
  <c r="EV76" i="3"/>
  <c r="EW76" i="3" s="1"/>
  <c r="CQ70" i="3"/>
  <c r="EB74" i="3"/>
  <c r="FP81" i="3"/>
  <c r="BA65" i="3"/>
  <c r="BV67" i="3"/>
  <c r="AM62" i="3"/>
  <c r="AF60" i="3"/>
  <c r="F26" i="3"/>
  <c r="G27" i="3"/>
  <c r="J26" i="3"/>
  <c r="K27" i="3"/>
  <c r="AE61" i="3" l="1"/>
  <c r="AF61" i="3" s="1"/>
  <c r="AG60" i="3"/>
  <c r="AH60" i="3" s="1"/>
  <c r="EV77" i="3"/>
  <c r="ET78" i="3"/>
  <c r="EU78" i="3" s="1"/>
  <c r="DT74" i="3"/>
  <c r="DU74" i="3" s="1"/>
  <c r="DR75" i="3"/>
  <c r="DS75" i="3" s="1"/>
  <c r="IP92" i="3"/>
  <c r="IQ92" i="3" s="1"/>
  <c r="IN93" i="3"/>
  <c r="GJ83" i="3"/>
  <c r="GK83" i="3" s="1"/>
  <c r="GL82" i="3"/>
  <c r="GM82" i="3" s="1"/>
  <c r="EH76" i="3"/>
  <c r="EI76" i="3" s="1"/>
  <c r="EF77" i="3"/>
  <c r="FV83" i="3"/>
  <c r="FW83" i="3" s="1"/>
  <c r="FX82" i="3"/>
  <c r="FY82" i="3" s="1"/>
  <c r="IW95" i="3"/>
  <c r="IX95" i="3" s="1"/>
  <c r="IU96" i="3"/>
  <c r="IV96" i="3" s="1"/>
  <c r="IW96" i="3" s="1"/>
  <c r="CI69" i="3"/>
  <c r="CK68" i="3"/>
  <c r="CL68" i="3" s="1"/>
  <c r="AN62" i="3"/>
  <c r="AO62" i="3" s="1"/>
  <c r="AL63" i="3"/>
  <c r="AM63" i="3" s="1"/>
  <c r="AZ66" i="3"/>
  <c r="BA66" i="3" s="1"/>
  <c r="BB65" i="3"/>
  <c r="BC65" i="3" s="1"/>
  <c r="DF72" i="3"/>
  <c r="DG72" i="3" s="1"/>
  <c r="DD73" i="3"/>
  <c r="IB89" i="3"/>
  <c r="IC89" i="3" s="1"/>
  <c r="HZ90" i="3"/>
  <c r="BI65" i="3"/>
  <c r="BJ65" i="3" s="1"/>
  <c r="BG66" i="3"/>
  <c r="X60" i="3"/>
  <c r="Y60" i="3" s="1"/>
  <c r="Z59" i="3"/>
  <c r="AA59" i="3" s="1"/>
  <c r="HL89" i="3"/>
  <c r="HN88" i="3"/>
  <c r="HO88" i="3" s="1"/>
  <c r="FO82" i="3"/>
  <c r="FP82" i="3" s="1"/>
  <c r="FQ81" i="3"/>
  <c r="FR81" i="3" s="1"/>
  <c r="EW77" i="3"/>
  <c r="NI59" i="3"/>
  <c r="Q60" i="3"/>
  <c r="R60" i="3" s="1"/>
  <c r="S59" i="3"/>
  <c r="T59" i="3" s="1"/>
  <c r="CC69" i="3"/>
  <c r="GD83" i="3"/>
  <c r="FB77" i="3"/>
  <c r="HF87" i="3"/>
  <c r="BO67" i="3"/>
  <c r="DZ75" i="3"/>
  <c r="IH91" i="3"/>
  <c r="BW67" i="3"/>
  <c r="BX67" i="3" s="1"/>
  <c r="BU68" i="3"/>
  <c r="CP71" i="3"/>
  <c r="CQ71" i="3" s="1"/>
  <c r="CR70" i="3"/>
  <c r="CS70" i="3" s="1"/>
  <c r="AT63" i="3"/>
  <c r="GS84" i="3"/>
  <c r="GT84" i="3" s="1"/>
  <c r="GQ85" i="3"/>
  <c r="EM79" i="3"/>
  <c r="EO78" i="3"/>
  <c r="EP78" i="3" s="1"/>
  <c r="HT88" i="3"/>
  <c r="JB94" i="3"/>
  <c r="JD93" i="3"/>
  <c r="JE93" i="3" s="1"/>
  <c r="DL73" i="3"/>
  <c r="CW71" i="3"/>
  <c r="CX71" i="3" s="1"/>
  <c r="CY70" i="3"/>
  <c r="CZ70" i="3" s="1"/>
  <c r="JJ94" i="3"/>
  <c r="GY85" i="3"/>
  <c r="FI78" i="3"/>
  <c r="J25" i="3"/>
  <c r="K26" i="3"/>
  <c r="F25" i="3"/>
  <c r="G26" i="3"/>
  <c r="JI95" i="3" l="1"/>
  <c r="JK94" i="3"/>
  <c r="JL94" i="3" s="1"/>
  <c r="DM73" i="3"/>
  <c r="DN73" i="3" s="1"/>
  <c r="DK74" i="3"/>
  <c r="DL74" i="3" s="1"/>
  <c r="AU63" i="3"/>
  <c r="AV63" i="3" s="1"/>
  <c r="AS64" i="3"/>
  <c r="EA75" i="3"/>
  <c r="EB75" i="3" s="1"/>
  <c r="DY76" i="3"/>
  <c r="GC84" i="3"/>
  <c r="GE83" i="3"/>
  <c r="GF83" i="3" s="1"/>
  <c r="NI60" i="3"/>
  <c r="S60" i="3"/>
  <c r="T60" i="3" s="1"/>
  <c r="Q61" i="3"/>
  <c r="R61" i="3" s="1"/>
  <c r="FQ82" i="3"/>
  <c r="FR82" i="3" s="1"/>
  <c r="FO83" i="3"/>
  <c r="FP83" i="3" s="1"/>
  <c r="Z60" i="3"/>
  <c r="AA60" i="3" s="1"/>
  <c r="X61" i="3"/>
  <c r="BB66" i="3"/>
  <c r="BC66" i="3" s="1"/>
  <c r="AZ67" i="3"/>
  <c r="ET79" i="3"/>
  <c r="EV78" i="3"/>
  <c r="EW78" i="3" s="1"/>
  <c r="FH79" i="3"/>
  <c r="FI79" i="3" s="1"/>
  <c r="FJ78" i="3"/>
  <c r="FK78" i="3" s="1"/>
  <c r="CY71" i="3"/>
  <c r="CZ71" i="3" s="1"/>
  <c r="CW72" i="3"/>
  <c r="HS89" i="3"/>
  <c r="HU88" i="3"/>
  <c r="HV88" i="3" s="1"/>
  <c r="CP72" i="3"/>
  <c r="CR71" i="3"/>
  <c r="CS71" i="3" s="1"/>
  <c r="BN68" i="3"/>
  <c r="BP67" i="3"/>
  <c r="BQ67" i="3" s="1"/>
  <c r="CB70" i="3"/>
  <c r="CC70" i="3" s="1"/>
  <c r="CD69" i="3"/>
  <c r="CE69" i="3" s="1"/>
  <c r="AL64" i="3"/>
  <c r="AM64" i="3" s="1"/>
  <c r="AN63" i="3"/>
  <c r="AO63" i="3" s="1"/>
  <c r="FX83" i="3"/>
  <c r="FY83" i="3" s="1"/>
  <c r="FV84" i="3"/>
  <c r="GL83" i="3"/>
  <c r="GM83" i="3" s="1"/>
  <c r="GJ84" i="3"/>
  <c r="GK84" i="3" s="1"/>
  <c r="DR76" i="3"/>
  <c r="DT75" i="3"/>
  <c r="DU75" i="3" s="1"/>
  <c r="AG61" i="3"/>
  <c r="AH61" i="3" s="1"/>
  <c r="AE62" i="3"/>
  <c r="GX86" i="3"/>
  <c r="GZ85" i="3"/>
  <c r="HA85" i="3" s="1"/>
  <c r="JC94" i="3"/>
  <c r="EN79" i="3"/>
  <c r="BV68" i="3"/>
  <c r="HE88" i="3"/>
  <c r="HF88" i="3" s="1"/>
  <c r="HG87" i="3"/>
  <c r="HH87" i="3" s="1"/>
  <c r="FA78" i="3"/>
  <c r="FB78" i="3" s="1"/>
  <c r="FC77" i="3"/>
  <c r="FD77" i="3" s="1"/>
  <c r="HM89" i="3"/>
  <c r="DE73" i="3"/>
  <c r="IX96" i="3"/>
  <c r="EG77" i="3"/>
  <c r="IO93" i="3"/>
  <c r="GR85" i="3"/>
  <c r="IG92" i="3"/>
  <c r="IH92" i="3" s="1"/>
  <c r="II91" i="3"/>
  <c r="IJ91" i="3" s="1"/>
  <c r="NF59" i="3"/>
  <c r="BH66" i="3"/>
  <c r="IA90" i="3"/>
  <c r="CJ69" i="3"/>
  <c r="J24" i="3"/>
  <c r="K24" i="3" s="1"/>
  <c r="K25" i="3"/>
  <c r="F24" i="3"/>
  <c r="G24" i="3" s="1"/>
  <c r="G25" i="3"/>
  <c r="CK69" i="3" l="1"/>
  <c r="CL69" i="3" s="1"/>
  <c r="CI70" i="3"/>
  <c r="IN94" i="3"/>
  <c r="IP93" i="3"/>
  <c r="IQ93" i="3" s="1"/>
  <c r="DD74" i="3"/>
  <c r="DF73" i="3"/>
  <c r="DG73" i="3" s="1"/>
  <c r="FA79" i="3"/>
  <c r="FC78" i="3"/>
  <c r="FD78" i="3" s="1"/>
  <c r="FB79" i="3"/>
  <c r="HE89" i="3"/>
  <c r="HG88" i="3"/>
  <c r="JB95" i="3"/>
  <c r="JD94" i="3"/>
  <c r="JE94" i="3" s="1"/>
  <c r="GJ85" i="3"/>
  <c r="GL84" i="3"/>
  <c r="GM84" i="3" s="1"/>
  <c r="CD70" i="3"/>
  <c r="CE70" i="3" s="1"/>
  <c r="CB71" i="3"/>
  <c r="CC71" i="3" s="1"/>
  <c r="Q62" i="3"/>
  <c r="S61" i="3"/>
  <c r="T61" i="3" s="1"/>
  <c r="DK75" i="3"/>
  <c r="DM74" i="3"/>
  <c r="DN74" i="3" s="1"/>
  <c r="II92" i="3"/>
  <c r="IJ92" i="3" s="1"/>
  <c r="IG93" i="3"/>
  <c r="GQ86" i="3"/>
  <c r="GR86" i="3" s="1"/>
  <c r="GS85" i="3"/>
  <c r="GT85" i="3" s="1"/>
  <c r="EF78" i="3"/>
  <c r="EH77" i="3"/>
  <c r="EI77" i="3" s="1"/>
  <c r="HH88" i="3"/>
  <c r="AN64" i="3"/>
  <c r="AO64" i="3" s="1"/>
  <c r="AL65" i="3"/>
  <c r="FH80" i="3"/>
  <c r="FJ79" i="3"/>
  <c r="FK79" i="3" s="1"/>
  <c r="FO84" i="3"/>
  <c r="FQ83" i="3"/>
  <c r="FR83" i="3" s="1"/>
  <c r="HZ91" i="3"/>
  <c r="IB90" i="3"/>
  <c r="IC90" i="3" s="1"/>
  <c r="HL90" i="3"/>
  <c r="HN89" i="3"/>
  <c r="HO89" i="3" s="1"/>
  <c r="BU69" i="3"/>
  <c r="BW68" i="3"/>
  <c r="BX68" i="3" s="1"/>
  <c r="AF62" i="3"/>
  <c r="CQ72" i="3"/>
  <c r="HT89" i="3"/>
  <c r="BA67" i="3"/>
  <c r="Y61" i="3"/>
  <c r="GD84" i="3"/>
  <c r="BG67" i="3"/>
  <c r="BI66" i="3"/>
  <c r="BJ66" i="3" s="1"/>
  <c r="EO79" i="3"/>
  <c r="EP79" i="3" s="1"/>
  <c r="EM80" i="3"/>
  <c r="EN80" i="3" s="1"/>
  <c r="GY86" i="3"/>
  <c r="DS76" i="3"/>
  <c r="FW84" i="3"/>
  <c r="NF60" i="3"/>
  <c r="BO68" i="3"/>
  <c r="CX72" i="3"/>
  <c r="EU79" i="3"/>
  <c r="DZ76" i="3"/>
  <c r="AT64" i="3"/>
  <c r="JJ95" i="3"/>
  <c r="AS65" i="3" l="1"/>
  <c r="AT65" i="3" s="1"/>
  <c r="AU64" i="3"/>
  <c r="AV64" i="3" s="1"/>
  <c r="CW73" i="3"/>
  <c r="CX73" i="3" s="1"/>
  <c r="CY72" i="3"/>
  <c r="CZ72" i="3" s="1"/>
  <c r="FV85" i="3"/>
  <c r="FX84" i="3"/>
  <c r="FY84" i="3" s="1"/>
  <c r="GE84" i="3"/>
  <c r="GF84" i="3" s="1"/>
  <c r="GC85" i="3"/>
  <c r="GD85" i="3" s="1"/>
  <c r="FA80" i="3"/>
  <c r="FB80" i="3" s="1"/>
  <c r="FC79" i="3"/>
  <c r="FD79" i="3" s="1"/>
  <c r="DY77" i="3"/>
  <c r="EA76" i="3"/>
  <c r="EB76" i="3" s="1"/>
  <c r="DZ77" i="3"/>
  <c r="BP68" i="3"/>
  <c r="BQ68" i="3" s="1"/>
  <c r="BN69" i="3"/>
  <c r="BO69" i="3" s="1"/>
  <c r="DR77" i="3"/>
  <c r="DT76" i="3"/>
  <c r="DU76" i="3" s="1"/>
  <c r="EM81" i="3"/>
  <c r="EO80" i="3"/>
  <c r="EP80" i="3" s="1"/>
  <c r="EN81" i="3"/>
  <c r="HS90" i="3"/>
  <c r="HU89" i="3"/>
  <c r="HV89" i="3" s="1"/>
  <c r="AE63" i="3"/>
  <c r="AF63" i="3" s="1"/>
  <c r="AG62" i="3"/>
  <c r="AH62" i="3" s="1"/>
  <c r="FI80" i="3"/>
  <c r="GQ87" i="3"/>
  <c r="GR87" i="3" s="1"/>
  <c r="GS86" i="3"/>
  <c r="GT86" i="3" s="1"/>
  <c r="CB72" i="3"/>
  <c r="CC72" i="3" s="1"/>
  <c r="CD71" i="3"/>
  <c r="CE71" i="3" s="1"/>
  <c r="GX87" i="3"/>
  <c r="GY87" i="3" s="1"/>
  <c r="GZ86" i="3"/>
  <c r="HA86" i="3" s="1"/>
  <c r="X62" i="3"/>
  <c r="Y62" i="3" s="1"/>
  <c r="Z61" i="3"/>
  <c r="AA61" i="3" s="1"/>
  <c r="NF61" i="3" s="1"/>
  <c r="CR72" i="3"/>
  <c r="CS72" i="3" s="1"/>
  <c r="CP73" i="3"/>
  <c r="CQ73" i="3" s="1"/>
  <c r="IA91" i="3"/>
  <c r="AM65" i="3"/>
  <c r="EG78" i="3"/>
  <c r="IH93" i="3"/>
  <c r="NI61" i="3"/>
  <c r="GK85" i="3"/>
  <c r="JC95" i="3"/>
  <c r="IO94" i="3"/>
  <c r="JK95" i="3"/>
  <c r="JL95" i="3" s="1"/>
  <c r="JI96" i="3"/>
  <c r="ET80" i="3"/>
  <c r="EU80" i="3" s="1"/>
  <c r="EV79" i="3"/>
  <c r="EW79" i="3" s="1"/>
  <c r="BH67" i="3"/>
  <c r="AZ68" i="3"/>
  <c r="BA68" i="3" s="1"/>
  <c r="BB67" i="3"/>
  <c r="BC67" i="3" s="1"/>
  <c r="BV69" i="3"/>
  <c r="HM90" i="3"/>
  <c r="FP84" i="3"/>
  <c r="DL75" i="3"/>
  <c r="R62" i="3"/>
  <c r="HF89" i="3"/>
  <c r="DE74" i="3"/>
  <c r="CJ70" i="3"/>
  <c r="DD75" i="3" l="1"/>
  <c r="DF74" i="3"/>
  <c r="DG74" i="3" s="1"/>
  <c r="DK76" i="3"/>
  <c r="DL76" i="3" s="1"/>
  <c r="DM75" i="3"/>
  <c r="DN75" i="3" s="1"/>
  <c r="BU70" i="3"/>
  <c r="BW69" i="3"/>
  <c r="BX69" i="3" s="1"/>
  <c r="BG68" i="3"/>
  <c r="BI67" i="3"/>
  <c r="BJ67" i="3" s="1"/>
  <c r="EV80" i="3"/>
  <c r="EW80" i="3" s="1"/>
  <c r="ET81" i="3"/>
  <c r="IN95" i="3"/>
  <c r="IO95" i="3" s="1"/>
  <c r="IP94" i="3"/>
  <c r="IQ94" i="3" s="1"/>
  <c r="GL85" i="3"/>
  <c r="GM85" i="3" s="1"/>
  <c r="GJ86" i="3"/>
  <c r="GK86" i="3" s="1"/>
  <c r="AL66" i="3"/>
  <c r="AM66" i="3" s="1"/>
  <c r="AN65" i="3"/>
  <c r="AO65" i="3" s="1"/>
  <c r="CP74" i="3"/>
  <c r="CQ74" i="3" s="1"/>
  <c r="CR73" i="3"/>
  <c r="CS73" i="3" s="1"/>
  <c r="GX88" i="3"/>
  <c r="GY88" i="3" s="1"/>
  <c r="GZ87" i="3"/>
  <c r="HA87" i="3" s="1"/>
  <c r="GQ88" i="3"/>
  <c r="GS87" i="3"/>
  <c r="GT87" i="3" s="1"/>
  <c r="EO81" i="3"/>
  <c r="EP81" i="3" s="1"/>
  <c r="EM82" i="3"/>
  <c r="BN70" i="3"/>
  <c r="BO70" i="3" s="1"/>
  <c r="BP69" i="3"/>
  <c r="AS66" i="3"/>
  <c r="AU65" i="3"/>
  <c r="AV65" i="3" s="1"/>
  <c r="HE90" i="3"/>
  <c r="HG89" i="3"/>
  <c r="HH89" i="3" s="1"/>
  <c r="HF90" i="3"/>
  <c r="BB68" i="3"/>
  <c r="BC68" i="3" s="1"/>
  <c r="AZ69" i="3"/>
  <c r="BA69" i="3" s="1"/>
  <c r="HZ92" i="3"/>
  <c r="IA92" i="3" s="1"/>
  <c r="IB91" i="3"/>
  <c r="IC91" i="3" s="1"/>
  <c r="Z62" i="3"/>
  <c r="AA62" i="3" s="1"/>
  <c r="X63" i="3"/>
  <c r="Y63" i="3" s="1"/>
  <c r="CD72" i="3"/>
  <c r="CE72" i="3" s="1"/>
  <c r="CB73" i="3"/>
  <c r="FH81" i="3"/>
  <c r="FJ80" i="3"/>
  <c r="FK80" i="3" s="1"/>
  <c r="FI81" i="3"/>
  <c r="AE64" i="3"/>
  <c r="AF64" i="3" s="1"/>
  <c r="AG63" i="3"/>
  <c r="AH63" i="3" s="1"/>
  <c r="DS77" i="3"/>
  <c r="EA77" i="3"/>
  <c r="EB77" i="3" s="1"/>
  <c r="DY78" i="3"/>
  <c r="FC80" i="3"/>
  <c r="FD80" i="3" s="1"/>
  <c r="FA81" i="3"/>
  <c r="FB81" i="3" s="1"/>
  <c r="GC86" i="3"/>
  <c r="GE85" i="3"/>
  <c r="GF85" i="3" s="1"/>
  <c r="CW74" i="3"/>
  <c r="CY73" i="3"/>
  <c r="CZ73" i="3" s="1"/>
  <c r="FO85" i="3"/>
  <c r="FQ84" i="3"/>
  <c r="FR84" i="3" s="1"/>
  <c r="IG94" i="3"/>
  <c r="II93" i="3"/>
  <c r="IJ93" i="3" s="1"/>
  <c r="HT90" i="3"/>
  <c r="BQ69" i="3"/>
  <c r="FW85" i="3"/>
  <c r="CI71" i="3"/>
  <c r="CJ71" i="3" s="1"/>
  <c r="CK70" i="3"/>
  <c r="CL70" i="3" s="1"/>
  <c r="NI62" i="3"/>
  <c r="S62" i="3"/>
  <c r="T62" i="3" s="1"/>
  <c r="Q63" i="3"/>
  <c r="HN90" i="3"/>
  <c r="HO90" i="3" s="1"/>
  <c r="HL91" i="3"/>
  <c r="JJ96" i="3"/>
  <c r="JK96" i="3" s="1"/>
  <c r="JL96" i="3" s="1"/>
  <c r="JD95" i="3"/>
  <c r="JE95" i="3" s="1"/>
  <c r="JB96" i="3"/>
  <c r="JC96" i="3" s="1"/>
  <c r="JD96" i="3" s="1"/>
  <c r="EF79" i="3"/>
  <c r="EH78" i="3"/>
  <c r="EI78" i="3" s="1"/>
  <c r="CI72" i="3" l="1"/>
  <c r="CK71" i="3"/>
  <c r="CL71" i="3" s="1"/>
  <c r="FV86" i="3"/>
  <c r="FX85" i="3"/>
  <c r="FY85" i="3" s="1"/>
  <c r="FA82" i="3"/>
  <c r="FB82" i="3" s="1"/>
  <c r="FC81" i="3"/>
  <c r="FD81" i="3" s="1"/>
  <c r="DR78" i="3"/>
  <c r="DT77" i="3"/>
  <c r="DU77" i="3" s="1"/>
  <c r="AE65" i="3"/>
  <c r="AG64" i="3"/>
  <c r="AH64" i="3" s="1"/>
  <c r="HZ93" i="3"/>
  <c r="IB92" i="3"/>
  <c r="IC92" i="3" s="1"/>
  <c r="AZ70" i="3"/>
  <c r="BA70" i="3" s="1"/>
  <c r="BB69" i="3"/>
  <c r="BC69" i="3" s="1"/>
  <c r="BP70" i="3"/>
  <c r="BN71" i="3"/>
  <c r="GZ88" i="3"/>
  <c r="HA88" i="3" s="1"/>
  <c r="GX89" i="3"/>
  <c r="AN66" i="3"/>
  <c r="AL67" i="3"/>
  <c r="AM67" i="3" s="1"/>
  <c r="IN96" i="3"/>
  <c r="IP95" i="3"/>
  <c r="IQ95" i="3" s="1"/>
  <c r="DK77" i="3"/>
  <c r="DM76" i="3"/>
  <c r="DN76" i="3" s="1"/>
  <c r="R63" i="3"/>
  <c r="FJ81" i="3"/>
  <c r="FK81" i="3" s="1"/>
  <c r="FH82" i="3"/>
  <c r="FI82" i="3" s="1"/>
  <c r="X64" i="3"/>
  <c r="Z63" i="3"/>
  <c r="AA63" i="3" s="1"/>
  <c r="HE91" i="3"/>
  <c r="HG90" i="3"/>
  <c r="HH90" i="3" s="1"/>
  <c r="GJ87" i="3"/>
  <c r="GL86" i="3"/>
  <c r="GM86" i="3" s="1"/>
  <c r="BV70" i="3"/>
  <c r="EG79" i="3"/>
  <c r="NF62" i="3"/>
  <c r="IH94" i="3"/>
  <c r="CX74" i="3"/>
  <c r="CC73" i="3"/>
  <c r="AT66" i="3"/>
  <c r="BQ70" i="3"/>
  <c r="EN82" i="3"/>
  <c r="CP75" i="3"/>
  <c r="CR74" i="3"/>
  <c r="CS74" i="3" s="1"/>
  <c r="AO66" i="3"/>
  <c r="BH68" i="3"/>
  <c r="JE96" i="3"/>
  <c r="HM91" i="3"/>
  <c r="HS91" i="3"/>
  <c r="HT91" i="3" s="1"/>
  <c r="HU90" i="3"/>
  <c r="HV90" i="3" s="1"/>
  <c r="FP85" i="3"/>
  <c r="GD86" i="3"/>
  <c r="DZ78" i="3"/>
  <c r="GR88" i="3"/>
  <c r="EU81" i="3"/>
  <c r="DE75" i="3"/>
  <c r="GQ89" i="3" l="1"/>
  <c r="GS88" i="3"/>
  <c r="GT88" i="3" s="1"/>
  <c r="FO86" i="3"/>
  <c r="FQ85" i="3"/>
  <c r="FR85" i="3" s="1"/>
  <c r="HL92" i="3"/>
  <c r="HN91" i="3"/>
  <c r="HO91" i="3" s="1"/>
  <c r="EM83" i="3"/>
  <c r="EN83" i="3" s="1"/>
  <c r="EO82" i="3"/>
  <c r="EP82" i="3" s="1"/>
  <c r="CB74" i="3"/>
  <c r="CC74" i="3" s="1"/>
  <c r="CD73" i="3"/>
  <c r="CE73" i="3" s="1"/>
  <c r="II94" i="3"/>
  <c r="IJ94" i="3" s="1"/>
  <c r="IG95" i="3"/>
  <c r="IH95" i="3" s="1"/>
  <c r="BU71" i="3"/>
  <c r="BW70" i="3"/>
  <c r="BX70" i="3" s="1"/>
  <c r="FJ82" i="3"/>
  <c r="FK82" i="3" s="1"/>
  <c r="FH83" i="3"/>
  <c r="NI63" i="3"/>
  <c r="Q64" i="3"/>
  <c r="R64" i="3" s="1"/>
  <c r="S63" i="3"/>
  <c r="T63" i="3" s="1"/>
  <c r="NF63" i="3" s="1"/>
  <c r="AL68" i="3"/>
  <c r="AM68" i="3" s="1"/>
  <c r="AN67" i="3"/>
  <c r="AZ71" i="3"/>
  <c r="BA71" i="3" s="1"/>
  <c r="BB70" i="3"/>
  <c r="BC70" i="3" s="1"/>
  <c r="DD76" i="3"/>
  <c r="DF75" i="3"/>
  <c r="DG75" i="3" s="1"/>
  <c r="HU91" i="3"/>
  <c r="HV91" i="3" s="1"/>
  <c r="HS92" i="3"/>
  <c r="HT92" i="3" s="1"/>
  <c r="FA83" i="3"/>
  <c r="FC82" i="3"/>
  <c r="FD82" i="3" s="1"/>
  <c r="DY79" i="3"/>
  <c r="EA78" i="3"/>
  <c r="EB78" i="3" s="1"/>
  <c r="AS67" i="3"/>
  <c r="AU66" i="3"/>
  <c r="AV66" i="3" s="1"/>
  <c r="CW75" i="3"/>
  <c r="CX75" i="3" s="1"/>
  <c r="CY74" i="3"/>
  <c r="CZ74" i="3" s="1"/>
  <c r="HF91" i="3"/>
  <c r="AO67" i="3"/>
  <c r="DS78" i="3"/>
  <c r="CJ72" i="3"/>
  <c r="ET82" i="3"/>
  <c r="EV81" i="3"/>
  <c r="EW81" i="3" s="1"/>
  <c r="GC87" i="3"/>
  <c r="GE86" i="3"/>
  <c r="GF86" i="3" s="1"/>
  <c r="BG69" i="3"/>
  <c r="BI68" i="3"/>
  <c r="BJ68" i="3" s="1"/>
  <c r="CQ75" i="3"/>
  <c r="EF80" i="3"/>
  <c r="EH79" i="3"/>
  <c r="EI79" i="3" s="1"/>
  <c r="GK87" i="3"/>
  <c r="Y64" i="3"/>
  <c r="DL77" i="3"/>
  <c r="IO96" i="3"/>
  <c r="IP96" i="3" s="1"/>
  <c r="IQ96" i="3" s="1"/>
  <c r="GY89" i="3"/>
  <c r="BO71" i="3"/>
  <c r="IA93" i="3"/>
  <c r="AF65" i="3"/>
  <c r="FW86" i="3"/>
  <c r="IB93" i="3" l="1"/>
  <c r="IC93" i="3" s="1"/>
  <c r="HZ94" i="3"/>
  <c r="DM77" i="3"/>
  <c r="DN77" i="3" s="1"/>
  <c r="DK78" i="3"/>
  <c r="DL78" i="3" s="1"/>
  <c r="CY75" i="3"/>
  <c r="CZ75" i="3" s="1"/>
  <c r="CW76" i="3"/>
  <c r="CX76" i="3" s="1"/>
  <c r="EM84" i="3"/>
  <c r="EO83" i="3"/>
  <c r="AZ72" i="3"/>
  <c r="BA72" i="3" s="1"/>
  <c r="BB71" i="3"/>
  <c r="BC71" i="3" s="1"/>
  <c r="NI64" i="3"/>
  <c r="S64" i="3"/>
  <c r="T64" i="3" s="1"/>
  <c r="Q65" i="3"/>
  <c r="IG96" i="3"/>
  <c r="IH96" i="3" s="1"/>
  <c r="II96" i="3" s="1"/>
  <c r="II95" i="3"/>
  <c r="IJ95" i="3" s="1"/>
  <c r="FV87" i="3"/>
  <c r="FW87" i="3" s="1"/>
  <c r="FX86" i="3"/>
  <c r="FY86" i="3" s="1"/>
  <c r="BN72" i="3"/>
  <c r="BP71" i="3"/>
  <c r="BQ71" i="3" s="1"/>
  <c r="Z64" i="3"/>
  <c r="AA64" i="3" s="1"/>
  <c r="X65" i="3"/>
  <c r="Y65" i="3" s="1"/>
  <c r="GD87" i="3"/>
  <c r="CI73" i="3"/>
  <c r="CJ73" i="3" s="1"/>
  <c r="CK72" i="3"/>
  <c r="CL72" i="3" s="1"/>
  <c r="FB83" i="3"/>
  <c r="HS93" i="3"/>
  <c r="HU92" i="3"/>
  <c r="HV92" i="3" s="1"/>
  <c r="AL69" i="3"/>
  <c r="AM69" i="3" s="1"/>
  <c r="AN68" i="3"/>
  <c r="AO68" i="3" s="1"/>
  <c r="CB75" i="3"/>
  <c r="CC75" i="3" s="1"/>
  <c r="CD74" i="3"/>
  <c r="CE74" i="3" s="1"/>
  <c r="GX90" i="3"/>
  <c r="GY90" i="3" s="1"/>
  <c r="GZ89" i="3"/>
  <c r="HA89" i="3" s="1"/>
  <c r="GL87" i="3"/>
  <c r="GM87" i="3" s="1"/>
  <c r="GJ88" i="3"/>
  <c r="CP76" i="3"/>
  <c r="CR75" i="3"/>
  <c r="CS75" i="3" s="1"/>
  <c r="EU82" i="3"/>
  <c r="DE76" i="3"/>
  <c r="FI83" i="3"/>
  <c r="EP83" i="3"/>
  <c r="FP86" i="3"/>
  <c r="AG65" i="3"/>
  <c r="AH65" i="3" s="1"/>
  <c r="AE66" i="3"/>
  <c r="AF66" i="3" s="1"/>
  <c r="EG80" i="3"/>
  <c r="BH69" i="3"/>
  <c r="DT78" i="3"/>
  <c r="DU78" i="3" s="1"/>
  <c r="DR79" i="3"/>
  <c r="HG91" i="3"/>
  <c r="HH91" i="3" s="1"/>
  <c r="HE92" i="3"/>
  <c r="HF92" i="3" s="1"/>
  <c r="AT67" i="3"/>
  <c r="DZ79" i="3"/>
  <c r="BV71" i="3"/>
  <c r="HM92" i="3"/>
  <c r="GR89" i="3"/>
  <c r="BW71" i="3" l="1"/>
  <c r="BX71" i="3" s="1"/>
  <c r="BU72" i="3"/>
  <c r="BI69" i="3"/>
  <c r="BJ69" i="3" s="1"/>
  <c r="BG70" i="3"/>
  <c r="BH70" i="3" s="1"/>
  <c r="GX91" i="3"/>
  <c r="GZ90" i="3"/>
  <c r="HA90" i="3" s="1"/>
  <c r="BB72" i="3"/>
  <c r="BC72" i="3" s="1"/>
  <c r="AZ73" i="3"/>
  <c r="BA73" i="3" s="1"/>
  <c r="CW77" i="3"/>
  <c r="CX77" i="3" s="1"/>
  <c r="CY76" i="3"/>
  <c r="CZ76" i="3" s="1"/>
  <c r="DK79" i="3"/>
  <c r="DL79" i="3" s="1"/>
  <c r="DM78" i="3"/>
  <c r="DN78" i="3" s="1"/>
  <c r="GQ90" i="3"/>
  <c r="GR90" i="3" s="1"/>
  <c r="GS89" i="3"/>
  <c r="GT89" i="3" s="1"/>
  <c r="AU67" i="3"/>
  <c r="AV67" i="3" s="1"/>
  <c r="AS68" i="3"/>
  <c r="AT68" i="3" s="1"/>
  <c r="EH80" i="3"/>
  <c r="EI80" i="3" s="1"/>
  <c r="EF81" i="3"/>
  <c r="EG81" i="3" s="1"/>
  <c r="FH84" i="3"/>
  <c r="FJ83" i="3"/>
  <c r="FK83" i="3" s="1"/>
  <c r="ET83" i="3"/>
  <c r="EU83" i="3" s="1"/>
  <c r="EV82" i="3"/>
  <c r="EW82" i="3" s="1"/>
  <c r="X66" i="3"/>
  <c r="Y66" i="3" s="1"/>
  <c r="Z65" i="3"/>
  <c r="AA65" i="3" s="1"/>
  <c r="FV88" i="3"/>
  <c r="FW88" i="3" s="1"/>
  <c r="FX87" i="3"/>
  <c r="FY87" i="3" s="1"/>
  <c r="EA79" i="3"/>
  <c r="EB79" i="3" s="1"/>
  <c r="DY80" i="3"/>
  <c r="DZ80" i="3" s="1"/>
  <c r="HE93" i="3"/>
  <c r="HG92" i="3"/>
  <c r="HH92" i="3" s="1"/>
  <c r="AE67" i="3"/>
  <c r="AF67" i="3" s="1"/>
  <c r="AG66" i="3"/>
  <c r="AH66" i="3" s="1"/>
  <c r="GC88" i="3"/>
  <c r="GD88" i="3" s="1"/>
  <c r="GE87" i="3"/>
  <c r="GF87" i="3" s="1"/>
  <c r="HL93" i="3"/>
  <c r="HN92" i="3"/>
  <c r="HO92" i="3" s="1"/>
  <c r="FO87" i="3"/>
  <c r="FQ86" i="3"/>
  <c r="FR86" i="3" s="1"/>
  <c r="NF64" i="3"/>
  <c r="CQ76" i="3"/>
  <c r="CB76" i="3"/>
  <c r="CD75" i="3"/>
  <c r="CE75" i="3" s="1"/>
  <c r="CC76" i="3"/>
  <c r="AL70" i="3"/>
  <c r="AN69" i="3"/>
  <c r="AO69" i="3" s="1"/>
  <c r="FA84" i="3"/>
  <c r="FC83" i="3"/>
  <c r="FD83" i="3" s="1"/>
  <c r="CK73" i="3"/>
  <c r="CL73" i="3" s="1"/>
  <c r="CI74" i="3"/>
  <c r="BO72" i="3"/>
  <c r="R65" i="3"/>
  <c r="DS79" i="3"/>
  <c r="DF76" i="3"/>
  <c r="DG76" i="3" s="1"/>
  <c r="DD77" i="3"/>
  <c r="DE77" i="3" s="1"/>
  <c r="GK88" i="3"/>
  <c r="HT93" i="3"/>
  <c r="IJ96" i="3"/>
  <c r="EN84" i="3"/>
  <c r="IA94" i="3"/>
  <c r="BG71" i="3" l="1"/>
  <c r="BH71" i="3" s="1"/>
  <c r="BI70" i="3"/>
  <c r="BJ70" i="3" s="1"/>
  <c r="CW78" i="3"/>
  <c r="CX78" i="3" s="1"/>
  <c r="CY77" i="3"/>
  <c r="CZ77" i="3" s="1"/>
  <c r="FV89" i="3"/>
  <c r="FX88" i="3"/>
  <c r="FY88" i="3" s="1"/>
  <c r="EV83" i="3"/>
  <c r="EW83" i="3" s="1"/>
  <c r="ET84" i="3"/>
  <c r="EU84" i="3" s="1"/>
  <c r="EF82" i="3"/>
  <c r="EG82" i="3" s="1"/>
  <c r="EH81" i="3"/>
  <c r="EI81" i="3" s="1"/>
  <c r="DK80" i="3"/>
  <c r="DL80" i="3" s="1"/>
  <c r="DM79" i="3"/>
  <c r="DN79" i="3" s="1"/>
  <c r="DR80" i="3"/>
  <c r="DS80" i="3" s="1"/>
  <c r="DT79" i="3"/>
  <c r="DU79" i="3" s="1"/>
  <c r="CP77" i="3"/>
  <c r="CQ77" i="3" s="1"/>
  <c r="CR76" i="3"/>
  <c r="CS76" i="3" s="1"/>
  <c r="FP87" i="3"/>
  <c r="EM85" i="3"/>
  <c r="EN85" i="3" s="1"/>
  <c r="EO84" i="3"/>
  <c r="EP84" i="3" s="1"/>
  <c r="BO73" i="3"/>
  <c r="BN73" i="3"/>
  <c r="BP72" i="3"/>
  <c r="BQ72" i="3" s="1"/>
  <c r="FB84" i="3"/>
  <c r="HS94" i="3"/>
  <c r="HT94" i="3" s="1"/>
  <c r="HU93" i="3"/>
  <c r="HV93" i="3" s="1"/>
  <c r="DD78" i="3"/>
  <c r="DE78" i="3" s="1"/>
  <c r="DF77" i="3"/>
  <c r="DG77" i="3" s="1"/>
  <c r="GE88" i="3"/>
  <c r="GF88" i="3" s="1"/>
  <c r="GC89" i="3"/>
  <c r="AE68" i="3"/>
  <c r="AF68" i="3" s="1"/>
  <c r="AG67" i="3"/>
  <c r="AH67" i="3" s="1"/>
  <c r="DY81" i="3"/>
  <c r="EA80" i="3"/>
  <c r="EB80" i="3" s="1"/>
  <c r="AS69" i="3"/>
  <c r="AU68" i="3"/>
  <c r="AV68" i="3" s="1"/>
  <c r="AZ74" i="3"/>
  <c r="BA74" i="3" s="1"/>
  <c r="BB73" i="3"/>
  <c r="BC73" i="3" s="1"/>
  <c r="GJ89" i="3"/>
  <c r="GL88" i="3"/>
  <c r="GM88" i="3" s="1"/>
  <c r="CD76" i="3"/>
  <c r="CE76" i="3" s="1"/>
  <c r="CB77" i="3"/>
  <c r="HF93" i="3"/>
  <c r="X67" i="3"/>
  <c r="Z66" i="3"/>
  <c r="AA66" i="3" s="1"/>
  <c r="FI84" i="3"/>
  <c r="GQ91" i="3"/>
  <c r="GS90" i="3"/>
  <c r="GT90" i="3" s="1"/>
  <c r="HZ95" i="3"/>
  <c r="IB94" i="3"/>
  <c r="IC94" i="3" s="1"/>
  <c r="NI65" i="3"/>
  <c r="Q66" i="3"/>
  <c r="R66" i="3" s="1"/>
  <c r="S65" i="3"/>
  <c r="T65" i="3" s="1"/>
  <c r="NF65" i="3" s="1"/>
  <c r="CJ74" i="3"/>
  <c r="AM70" i="3"/>
  <c r="HM93" i="3"/>
  <c r="GY91" i="3"/>
  <c r="BV72" i="3"/>
  <c r="DD79" i="3" l="1"/>
  <c r="DF78" i="3"/>
  <c r="DG78" i="3" s="1"/>
  <c r="BB74" i="3"/>
  <c r="BC74" i="3" s="1"/>
  <c r="AZ75" i="3"/>
  <c r="BA75" i="3" s="1"/>
  <c r="HS95" i="3"/>
  <c r="HT95" i="3" s="1"/>
  <c r="HU94" i="3"/>
  <c r="BN74" i="3"/>
  <c r="BO74" i="3" s="1"/>
  <c r="BP73" i="3"/>
  <c r="BQ73" i="3" s="1"/>
  <c r="BI71" i="3"/>
  <c r="BJ71" i="3" s="1"/>
  <c r="BG72" i="3"/>
  <c r="BH72" i="3" s="1"/>
  <c r="NI66" i="3"/>
  <c r="S66" i="3"/>
  <c r="T66" i="3" s="1"/>
  <c r="NF66" i="3" s="1"/>
  <c r="Q67" i="3"/>
  <c r="GR91" i="3"/>
  <c r="EO85" i="3"/>
  <c r="EM86" i="3"/>
  <c r="AN70" i="3"/>
  <c r="AO70" i="3" s="1"/>
  <c r="AL71" i="3"/>
  <c r="AM71" i="3" s="1"/>
  <c r="GK89" i="3"/>
  <c r="AE69" i="3"/>
  <c r="AF69" i="3" s="1"/>
  <c r="AG68" i="3"/>
  <c r="AH68" i="3" s="1"/>
  <c r="HV94" i="3"/>
  <c r="EP85" i="3"/>
  <c r="CR77" i="3"/>
  <c r="CS77" i="3" s="1"/>
  <c r="CP78" i="3"/>
  <c r="CQ78" i="3" s="1"/>
  <c r="DK81" i="3"/>
  <c r="DM80" i="3"/>
  <c r="CW79" i="3"/>
  <c r="CY78" i="3"/>
  <c r="CZ78" i="3" s="1"/>
  <c r="BU73" i="3"/>
  <c r="BV73" i="3" s="1"/>
  <c r="BW72" i="3"/>
  <c r="BX72" i="3" s="1"/>
  <c r="CI75" i="3"/>
  <c r="CJ75" i="3" s="1"/>
  <c r="CK74" i="3"/>
  <c r="CL74" i="3" s="1"/>
  <c r="FO88" i="3"/>
  <c r="FP88" i="3" s="1"/>
  <c r="FQ87" i="3"/>
  <c r="FR87" i="3" s="1"/>
  <c r="EH82" i="3"/>
  <c r="EI82" i="3" s="1"/>
  <c r="EF83" i="3"/>
  <c r="EG83" i="3" s="1"/>
  <c r="GZ91" i="3"/>
  <c r="HA91" i="3" s="1"/>
  <c r="GX92" i="3"/>
  <c r="GY92" i="3" s="1"/>
  <c r="Y67" i="3"/>
  <c r="FA85" i="3"/>
  <c r="FC84" i="3"/>
  <c r="FD84" i="3" s="1"/>
  <c r="DT80" i="3"/>
  <c r="DU80" i="3" s="1"/>
  <c r="DR81" i="3"/>
  <c r="DS81" i="3" s="1"/>
  <c r="ET85" i="3"/>
  <c r="EU85" i="3"/>
  <c r="EV84" i="3"/>
  <c r="EW84" i="3" s="1"/>
  <c r="HL94" i="3"/>
  <c r="HM94" i="3" s="1"/>
  <c r="HN93" i="3"/>
  <c r="HO93" i="3" s="1"/>
  <c r="IA95" i="3"/>
  <c r="FH85" i="3"/>
  <c r="FJ84" i="3"/>
  <c r="FK84" i="3" s="1"/>
  <c r="HE94" i="3"/>
  <c r="HF94" i="3" s="1"/>
  <c r="HG93" i="3"/>
  <c r="HH93" i="3" s="1"/>
  <c r="CC77" i="3"/>
  <c r="AT69" i="3"/>
  <c r="DZ81" i="3"/>
  <c r="GD89" i="3"/>
  <c r="DN80" i="3"/>
  <c r="FW89" i="3"/>
  <c r="HN94" i="3" l="1"/>
  <c r="HO94" i="3" s="1"/>
  <c r="HL95" i="3"/>
  <c r="DR82" i="3"/>
  <c r="DT81" i="3"/>
  <c r="DU81" i="3" s="1"/>
  <c r="BV74" i="3"/>
  <c r="BW73" i="3"/>
  <c r="BX73" i="3" s="1"/>
  <c r="BU74" i="3"/>
  <c r="AL72" i="3"/>
  <c r="AN71" i="3"/>
  <c r="AM72" i="3"/>
  <c r="FX89" i="3"/>
  <c r="FY89" i="3" s="1"/>
  <c r="FV90" i="3"/>
  <c r="GC90" i="3"/>
  <c r="GD90" i="3" s="1"/>
  <c r="GE89" i="3"/>
  <c r="GF89" i="3" s="1"/>
  <c r="CB78" i="3"/>
  <c r="CD77" i="3"/>
  <c r="CE77" i="3" s="1"/>
  <c r="FI85" i="3"/>
  <c r="EV85" i="3"/>
  <c r="EW85" i="3" s="1"/>
  <c r="ET86" i="3"/>
  <c r="EU86" i="3" s="1"/>
  <c r="GJ90" i="3"/>
  <c r="GK90" i="3" s="1"/>
  <c r="GL89" i="3"/>
  <c r="GM89" i="3" s="1"/>
  <c r="BG73" i="3"/>
  <c r="BI72" i="3"/>
  <c r="BJ72" i="3" s="1"/>
  <c r="HU95" i="3"/>
  <c r="HS96" i="3"/>
  <c r="AZ76" i="3"/>
  <c r="BB75" i="3"/>
  <c r="BC75" i="3" s="1"/>
  <c r="BA76" i="3"/>
  <c r="HG94" i="3"/>
  <c r="HH94" i="3" s="1"/>
  <c r="HE95" i="3"/>
  <c r="HF95" i="3" s="1"/>
  <c r="GX93" i="3"/>
  <c r="GZ92" i="3"/>
  <c r="HA92" i="3" s="1"/>
  <c r="EF84" i="3"/>
  <c r="EH83" i="3"/>
  <c r="CI76" i="3"/>
  <c r="CJ76" i="3" s="1"/>
  <c r="CK75" i="3"/>
  <c r="CL75" i="3" s="1"/>
  <c r="CP79" i="3"/>
  <c r="CR78" i="3"/>
  <c r="CS78" i="3" s="1"/>
  <c r="AG69" i="3"/>
  <c r="AH69" i="3" s="1"/>
  <c r="AE70" i="3"/>
  <c r="GQ92" i="3"/>
  <c r="GR92" i="3" s="1"/>
  <c r="GS91" i="3"/>
  <c r="GT91" i="3" s="1"/>
  <c r="BP74" i="3"/>
  <c r="BQ74" i="3" s="1"/>
  <c r="BN75" i="3"/>
  <c r="DY82" i="3"/>
  <c r="DZ82" i="3" s="1"/>
  <c r="EA81" i="3"/>
  <c r="EB81" i="3" s="1"/>
  <c r="X68" i="3"/>
  <c r="Y68" i="3" s="1"/>
  <c r="Z67" i="3"/>
  <c r="AA67" i="3" s="1"/>
  <c r="FQ88" i="3"/>
  <c r="FR88" i="3" s="1"/>
  <c r="FO89" i="3"/>
  <c r="AO71" i="3"/>
  <c r="HV95" i="3"/>
  <c r="AU69" i="3"/>
  <c r="AV69" i="3" s="1"/>
  <c r="AS70" i="3"/>
  <c r="AT70" i="3" s="1"/>
  <c r="HZ96" i="3"/>
  <c r="IB95" i="3"/>
  <c r="IC95" i="3" s="1"/>
  <c r="FB85" i="3"/>
  <c r="EI83" i="3"/>
  <c r="CX79" i="3"/>
  <c r="DL81" i="3"/>
  <c r="EN86" i="3"/>
  <c r="R67" i="3"/>
  <c r="DE79" i="3"/>
  <c r="Z68" i="3" l="1"/>
  <c r="X69" i="3"/>
  <c r="Y69" i="3" s="1"/>
  <c r="DY83" i="3"/>
  <c r="DZ83" i="3" s="1"/>
  <c r="EA82" i="3"/>
  <c r="EB82" i="3" s="1"/>
  <c r="GS92" i="3"/>
  <c r="GQ93" i="3"/>
  <c r="GR93" i="3" s="1"/>
  <c r="HE96" i="3"/>
  <c r="HF96" i="3" s="1"/>
  <c r="HG96" i="3" s="1"/>
  <c r="HG95" i="3"/>
  <c r="HH95" i="3" s="1"/>
  <c r="GJ91" i="3"/>
  <c r="GK91" i="3" s="1"/>
  <c r="GL90" i="3"/>
  <c r="GM90" i="3" s="1"/>
  <c r="ET87" i="3"/>
  <c r="EV86" i="3"/>
  <c r="EU87" i="3"/>
  <c r="AN72" i="3"/>
  <c r="AO72" i="3" s="1"/>
  <c r="AL73" i="3"/>
  <c r="NI67" i="3"/>
  <c r="Q68" i="3"/>
  <c r="R68" i="3" s="1"/>
  <c r="S67" i="3"/>
  <c r="T67" i="3" s="1"/>
  <c r="NF67" i="3" s="1"/>
  <c r="DM81" i="3"/>
  <c r="DN81" i="3" s="1"/>
  <c r="DK82" i="3"/>
  <c r="IA96" i="3"/>
  <c r="IB96" i="3" s="1"/>
  <c r="IC96" i="3" s="1"/>
  <c r="AS71" i="3"/>
  <c r="AT71" i="3" s="1"/>
  <c r="AU70" i="3"/>
  <c r="AV70" i="3" s="1"/>
  <c r="BB76" i="3"/>
  <c r="BC76" i="3" s="1"/>
  <c r="FJ85" i="3"/>
  <c r="FK85" i="3" s="1"/>
  <c r="FH86" i="3"/>
  <c r="FI86" i="3" s="1"/>
  <c r="GE90" i="3"/>
  <c r="GF90" i="3" s="1"/>
  <c r="GC91" i="3"/>
  <c r="GD91" i="3" s="1"/>
  <c r="BU75" i="3"/>
  <c r="BV75" i="3" s="1"/>
  <c r="BW74" i="3"/>
  <c r="BX74" i="3" s="1"/>
  <c r="EM87" i="3"/>
  <c r="EN87" i="3" s="1"/>
  <c r="EO86" i="3"/>
  <c r="EP86" i="3" s="1"/>
  <c r="CY79" i="3"/>
  <c r="CZ79" i="3" s="1"/>
  <c r="CW80" i="3"/>
  <c r="CX80" i="3" s="1"/>
  <c r="FC85" i="3"/>
  <c r="FD85" i="3" s="1"/>
  <c r="FA86" i="3"/>
  <c r="FB86" i="3" s="1"/>
  <c r="AA68" i="3"/>
  <c r="GT92" i="3"/>
  <c r="AF70" i="3"/>
  <c r="CK76" i="3"/>
  <c r="CL76" i="3" s="1"/>
  <c r="CI77" i="3"/>
  <c r="CJ77" i="3" s="1"/>
  <c r="GY93" i="3"/>
  <c r="HT96" i="3"/>
  <c r="HU96" i="3" s="1"/>
  <c r="HV96" i="3" s="1"/>
  <c r="EW86" i="3"/>
  <c r="CC78" i="3"/>
  <c r="FW90" i="3"/>
  <c r="DS82" i="3"/>
  <c r="DD80" i="3"/>
  <c r="DE80" i="3" s="1"/>
  <c r="DF79" i="3"/>
  <c r="DG79" i="3" s="1"/>
  <c r="FP89" i="3"/>
  <c r="BO75" i="3"/>
  <c r="CQ79" i="3"/>
  <c r="EG84" i="3"/>
  <c r="BH73" i="3"/>
  <c r="HM95" i="3"/>
  <c r="BW75" i="3" l="1"/>
  <c r="BX75" i="3" s="1"/>
  <c r="BU76" i="3"/>
  <c r="FJ86" i="3"/>
  <c r="FK86" i="3" s="1"/>
  <c r="FH87" i="3"/>
  <c r="FI87" i="3" s="1"/>
  <c r="GQ94" i="3"/>
  <c r="GS93" i="3"/>
  <c r="GT93" i="3" s="1"/>
  <c r="FA87" i="3"/>
  <c r="FB87" i="3" s="1"/>
  <c r="FC86" i="3"/>
  <c r="FD86" i="3" s="1"/>
  <c r="GC92" i="3"/>
  <c r="GD92" i="3" s="1"/>
  <c r="GE91" i="3"/>
  <c r="GF91" i="3" s="1"/>
  <c r="NI68" i="3"/>
  <c r="S68" i="3"/>
  <c r="T68" i="3" s="1"/>
  <c r="NF68" i="3" s="1"/>
  <c r="Q69" i="3"/>
  <c r="DF80" i="3"/>
  <c r="DG80" i="3" s="1"/>
  <c r="DD81" i="3"/>
  <c r="DE81" i="3" s="1"/>
  <c r="EO87" i="3"/>
  <c r="EP87" i="3" s="1"/>
  <c r="EM88" i="3"/>
  <c r="EN88" i="3" s="1"/>
  <c r="CI78" i="3"/>
  <c r="CK77" i="3"/>
  <c r="CP80" i="3"/>
  <c r="CQ80" i="3" s="1"/>
  <c r="CR79" i="3"/>
  <c r="CS79" i="3" s="1"/>
  <c r="DT82" i="3"/>
  <c r="DU82" i="3" s="1"/>
  <c r="DR83" i="3"/>
  <c r="CL77" i="3"/>
  <c r="HL96" i="3"/>
  <c r="HN95" i="3"/>
  <c r="HO95" i="3" s="1"/>
  <c r="BI73" i="3"/>
  <c r="BJ73" i="3" s="1"/>
  <c r="BG74" i="3"/>
  <c r="BN76" i="3"/>
  <c r="BP75" i="3"/>
  <c r="BQ75" i="3" s="1"/>
  <c r="BO76" i="3"/>
  <c r="AU71" i="3"/>
  <c r="AV71" i="3" s="1"/>
  <c r="AS72" i="3"/>
  <c r="GL91" i="3"/>
  <c r="GM91" i="3" s="1"/>
  <c r="GJ92" i="3"/>
  <c r="EA83" i="3"/>
  <c r="EB83" i="3" s="1"/>
  <c r="DY84" i="3"/>
  <c r="FV91" i="3"/>
  <c r="FX90" i="3"/>
  <c r="FY90" i="3" s="1"/>
  <c r="ET88" i="3"/>
  <c r="EU88" i="3" s="1"/>
  <c r="EV87" i="3"/>
  <c r="EW87" i="3" s="1"/>
  <c r="X70" i="3"/>
  <c r="Z69" i="3"/>
  <c r="AA69" i="3" s="1"/>
  <c r="EG85" i="3"/>
  <c r="EH84" i="3"/>
  <c r="EI84" i="3" s="1"/>
  <c r="EF85" i="3"/>
  <c r="FO90" i="3"/>
  <c r="FP90" i="3" s="1"/>
  <c r="FQ89" i="3"/>
  <c r="FR89" i="3" s="1"/>
  <c r="CD78" i="3"/>
  <c r="CE78" i="3" s="1"/>
  <c r="CB79" i="3"/>
  <c r="GZ93" i="3"/>
  <c r="HA93" i="3" s="1"/>
  <c r="GX94" i="3"/>
  <c r="AE71" i="3"/>
  <c r="AG70" i="3"/>
  <c r="AH70" i="3" s="1"/>
  <c r="CW81" i="3"/>
  <c r="CY80" i="3"/>
  <c r="CZ80" i="3" s="1"/>
  <c r="DL82" i="3"/>
  <c r="AM73" i="3"/>
  <c r="HH96" i="3"/>
  <c r="FA88" i="3" l="1"/>
  <c r="FB88" i="3" s="1"/>
  <c r="FC87" i="3"/>
  <c r="FD87" i="3" s="1"/>
  <c r="DK83" i="3"/>
  <c r="DL83" i="3" s="1"/>
  <c r="DM82" i="3"/>
  <c r="DN82" i="3" s="1"/>
  <c r="FQ90" i="3"/>
  <c r="FR90" i="3" s="1"/>
  <c r="FO91" i="3"/>
  <c r="FP91" i="3" s="1"/>
  <c r="EV88" i="3"/>
  <c r="ET89" i="3"/>
  <c r="EU89" i="3" s="1"/>
  <c r="CR80" i="3"/>
  <c r="CS80" i="3" s="1"/>
  <c r="CP81" i="3"/>
  <c r="CQ81" i="3" s="1"/>
  <c r="DD82" i="3"/>
  <c r="DE82" i="3" s="1"/>
  <c r="DF81" i="3"/>
  <c r="FJ87" i="3"/>
  <c r="FK87" i="3" s="1"/>
  <c r="FH88" i="3"/>
  <c r="FI88" i="3" s="1"/>
  <c r="EF86" i="3"/>
  <c r="EH85" i="3"/>
  <c r="EG86" i="3"/>
  <c r="BP76" i="3"/>
  <c r="BQ76" i="3" s="1"/>
  <c r="BN77" i="3"/>
  <c r="BO77" i="3" s="1"/>
  <c r="EM89" i="3"/>
  <c r="EN89" i="3" s="1"/>
  <c r="EO88" i="3"/>
  <c r="EP88" i="3" s="1"/>
  <c r="GE92" i="3"/>
  <c r="GF92" i="3" s="1"/>
  <c r="GC93" i="3"/>
  <c r="GD93" i="3" s="1"/>
  <c r="AF71" i="3"/>
  <c r="CC79" i="3"/>
  <c r="Y70" i="3"/>
  <c r="FW91" i="3"/>
  <c r="GK92" i="3"/>
  <c r="BH74" i="3"/>
  <c r="DG81" i="3"/>
  <c r="AL74" i="3"/>
  <c r="AM74" i="3" s="1"/>
  <c r="AN73" i="3"/>
  <c r="AO73" i="3" s="1"/>
  <c r="CX81" i="3"/>
  <c r="GY94" i="3"/>
  <c r="EI85" i="3"/>
  <c r="EW88" i="3"/>
  <c r="DZ84" i="3"/>
  <c r="AT72" i="3"/>
  <c r="HM96" i="3"/>
  <c r="HN96" i="3" s="1"/>
  <c r="HO96" i="3" s="1"/>
  <c r="DS83" i="3"/>
  <c r="CJ78" i="3"/>
  <c r="R69" i="3"/>
  <c r="GR94" i="3"/>
  <c r="BV76" i="3"/>
  <c r="AN74" i="3" l="1"/>
  <c r="FO92" i="3"/>
  <c r="FQ91" i="3"/>
  <c r="FH89" i="3"/>
  <c r="FI89" i="3" s="1"/>
  <c r="FJ88" i="3"/>
  <c r="ET90" i="3"/>
  <c r="EU90" i="3" s="1"/>
  <c r="EV89" i="3"/>
  <c r="EW89" i="3" s="1"/>
  <c r="GC94" i="3"/>
  <c r="GD94" i="3" s="1"/>
  <c r="GE93" i="3"/>
  <c r="BU77" i="3"/>
  <c r="BW76" i="3"/>
  <c r="BX76" i="3" s="1"/>
  <c r="DR84" i="3"/>
  <c r="DS84" i="3" s="1"/>
  <c r="DT83" i="3"/>
  <c r="DU83" i="3" s="1"/>
  <c r="DY85" i="3"/>
  <c r="EA84" i="3"/>
  <c r="EB84" i="3" s="1"/>
  <c r="DZ85" i="3"/>
  <c r="CW82" i="3"/>
  <c r="CX82" i="3" s="1"/>
  <c r="CY81" i="3"/>
  <c r="CZ81" i="3" s="1"/>
  <c r="BG75" i="3"/>
  <c r="BI74" i="3"/>
  <c r="BJ74" i="3" s="1"/>
  <c r="NI69" i="3"/>
  <c r="Q70" i="3"/>
  <c r="S69" i="3"/>
  <c r="T69" i="3" s="1"/>
  <c r="NF69" i="3" s="1"/>
  <c r="GJ93" i="3"/>
  <c r="GK93" i="3" s="1"/>
  <c r="GL92" i="3"/>
  <c r="GM92" i="3" s="1"/>
  <c r="CB80" i="3"/>
  <c r="CC80" i="3" s="1"/>
  <c r="CD79" i="3"/>
  <c r="CE79" i="3" s="1"/>
  <c r="EF87" i="3"/>
  <c r="EG87" i="3" s="1"/>
  <c r="EH86" i="3"/>
  <c r="DD83" i="3"/>
  <c r="DF82" i="3"/>
  <c r="DG82" i="3" s="1"/>
  <c r="FA89" i="3"/>
  <c r="FB89" i="3" s="1"/>
  <c r="NI89" i="3" s="1"/>
  <c r="FC88" i="3"/>
  <c r="FD88" i="3" s="1"/>
  <c r="FX91" i="3"/>
  <c r="FY91" i="3" s="1"/>
  <c r="FV92" i="3"/>
  <c r="AE72" i="3"/>
  <c r="AF72" i="3" s="1"/>
  <c r="AG71" i="3"/>
  <c r="AH71" i="3" s="1"/>
  <c r="GF93" i="3"/>
  <c r="EO89" i="3"/>
  <c r="EP89" i="3" s="1"/>
  <c r="BN78" i="3"/>
  <c r="BO78" i="3" s="1"/>
  <c r="BP77" i="3"/>
  <c r="BQ77" i="3" s="1"/>
  <c r="FK88" i="3"/>
  <c r="CP82" i="3"/>
  <c r="CQ82" i="3" s="1"/>
  <c r="CR81" i="3"/>
  <c r="CS81" i="3" s="1"/>
  <c r="FR91" i="3"/>
  <c r="DM83" i="3"/>
  <c r="DN83" i="3" s="1"/>
  <c r="DK84" i="3"/>
  <c r="DL84" i="3" s="1"/>
  <c r="GQ95" i="3"/>
  <c r="GR95" i="3" s="1"/>
  <c r="GS94" i="3"/>
  <c r="GT94" i="3" s="1"/>
  <c r="CI79" i="3"/>
  <c r="CJ79" i="3" s="1"/>
  <c r="CK78" i="3"/>
  <c r="CL78" i="3" s="1"/>
  <c r="AS73" i="3"/>
  <c r="AT73" i="3" s="1"/>
  <c r="AU72" i="3"/>
  <c r="AV72" i="3" s="1"/>
  <c r="GX95" i="3"/>
  <c r="GZ94" i="3"/>
  <c r="HA94" i="3" s="1"/>
  <c r="AO74" i="3"/>
  <c r="X71" i="3"/>
  <c r="Z70" i="3"/>
  <c r="AA70" i="3" s="1"/>
  <c r="EI86" i="3"/>
  <c r="BP78" i="3" l="1"/>
  <c r="GJ94" i="3"/>
  <c r="GL93" i="3"/>
  <c r="GM93" i="3" s="1"/>
  <c r="FI90" i="3"/>
  <c r="FH90" i="3"/>
  <c r="FJ89" i="3"/>
  <c r="FK89" i="3" s="1"/>
  <c r="NI82" i="3"/>
  <c r="CR82" i="3"/>
  <c r="CS82" i="3" s="1"/>
  <c r="DR85" i="3"/>
  <c r="DT84" i="3"/>
  <c r="DU84" i="3" s="1"/>
  <c r="AE73" i="3"/>
  <c r="AG72" i="3"/>
  <c r="AH72" i="3" s="1"/>
  <c r="EF88" i="3"/>
  <c r="EH87" i="3"/>
  <c r="EI87" i="3" s="1"/>
  <c r="CW83" i="3"/>
  <c r="CX83" i="3" s="1"/>
  <c r="CY82" i="3"/>
  <c r="CZ82" i="3" s="1"/>
  <c r="Y71" i="3"/>
  <c r="CK79" i="3"/>
  <c r="CI80" i="3"/>
  <c r="CJ80" i="3" s="1"/>
  <c r="NI80" i="3" s="1"/>
  <c r="DK85" i="3"/>
  <c r="DL85" i="3" s="1"/>
  <c r="DM84" i="3"/>
  <c r="DN84" i="3" s="1"/>
  <c r="DE83" i="3"/>
  <c r="CD80" i="3"/>
  <c r="CE80" i="3" s="1"/>
  <c r="EA85" i="3"/>
  <c r="EB85" i="3" s="1"/>
  <c r="DY86" i="3"/>
  <c r="DZ86" i="3" s="1"/>
  <c r="EV90" i="3"/>
  <c r="EW90" i="3" s="1"/>
  <c r="AS74" i="3"/>
  <c r="AT74" i="3" s="1"/>
  <c r="AU73" i="3"/>
  <c r="AV73" i="3" s="1"/>
  <c r="GQ96" i="3"/>
  <c r="GR96" i="3" s="1"/>
  <c r="GS96" i="3" s="1"/>
  <c r="GS95" i="3"/>
  <c r="GT95" i="3" s="1"/>
  <c r="BQ78" i="3"/>
  <c r="FA90" i="3"/>
  <c r="FC89" i="3"/>
  <c r="FD89" i="3" s="1"/>
  <c r="GC95" i="3"/>
  <c r="GE94" i="3"/>
  <c r="GF94" i="3" s="1"/>
  <c r="GY95" i="3"/>
  <c r="CL79" i="3"/>
  <c r="FW92" i="3"/>
  <c r="R70" i="3"/>
  <c r="BH75" i="3"/>
  <c r="BV77" i="3"/>
  <c r="FP92" i="3"/>
  <c r="NF82" i="3" l="1"/>
  <c r="NF89" i="3"/>
  <c r="AS75" i="3"/>
  <c r="AT75" i="3" s="1"/>
  <c r="AU74" i="3"/>
  <c r="AV74" i="3" s="1"/>
  <c r="NF74" i="3" s="1"/>
  <c r="NI74" i="3"/>
  <c r="DM85" i="3"/>
  <c r="DN85" i="3" s="1"/>
  <c r="DY87" i="3"/>
  <c r="DZ87" i="3" s="1"/>
  <c r="EA86" i="3"/>
  <c r="EB86" i="3" s="1"/>
  <c r="NI70" i="3"/>
  <c r="S70" i="3"/>
  <c r="T70" i="3" s="1"/>
  <c r="NF70" i="3" s="1"/>
  <c r="Q71" i="3"/>
  <c r="R71" i="3" s="1"/>
  <c r="X72" i="3"/>
  <c r="Y72" i="3" s="1"/>
  <c r="Z72" i="3" s="1"/>
  <c r="Z71" i="3"/>
  <c r="AA71" i="3" s="1"/>
  <c r="DS85" i="3"/>
  <c r="NI85" i="3" s="1"/>
  <c r="GK94" i="3"/>
  <c r="BU78" i="3"/>
  <c r="BW77" i="3"/>
  <c r="BX77" i="3" s="1"/>
  <c r="FO93" i="3"/>
  <c r="FQ92" i="3"/>
  <c r="FR92" i="3" s="1"/>
  <c r="GT96" i="3"/>
  <c r="DD84" i="3"/>
  <c r="DE84" i="3" s="1"/>
  <c r="DF83" i="3"/>
  <c r="DG83" i="3" s="1"/>
  <c r="EG88" i="3"/>
  <c r="AF73" i="3"/>
  <c r="FJ90" i="3"/>
  <c r="FK90" i="3" s="1"/>
  <c r="FH91" i="3"/>
  <c r="FI91" i="3" s="1"/>
  <c r="BG76" i="3"/>
  <c r="BH76" i="3" s="1"/>
  <c r="BI75" i="3"/>
  <c r="BJ75" i="3" s="1"/>
  <c r="FV93" i="3"/>
  <c r="FW93" i="3" s="1"/>
  <c r="FX92" i="3"/>
  <c r="FY92" i="3" s="1"/>
  <c r="GX96" i="3"/>
  <c r="GZ95" i="3"/>
  <c r="HA95" i="3" s="1"/>
  <c r="GD95" i="3"/>
  <c r="FB90" i="3"/>
  <c r="CI81" i="3"/>
  <c r="CK80" i="3"/>
  <c r="CL80" i="3" s="1"/>
  <c r="NF80" i="3" s="1"/>
  <c r="NI83" i="3"/>
  <c r="CY83" i="3"/>
  <c r="CZ83" i="3" s="1"/>
  <c r="NF83" i="3" l="1"/>
  <c r="BG77" i="3"/>
  <c r="BH77" i="3" s="1"/>
  <c r="BI76" i="3"/>
  <c r="BJ76" i="3" s="1"/>
  <c r="NF76" i="3" s="1"/>
  <c r="NI76" i="3"/>
  <c r="GE95" i="3"/>
  <c r="GF95" i="3" s="1"/>
  <c r="NI73" i="3"/>
  <c r="AG73" i="3"/>
  <c r="AH73" i="3" s="1"/>
  <c r="NF73" i="3" s="1"/>
  <c r="NI87" i="3"/>
  <c r="EA87" i="3"/>
  <c r="EB87" i="3" s="1"/>
  <c r="NF87" i="3" s="1"/>
  <c r="NI75" i="3"/>
  <c r="AU75" i="3"/>
  <c r="AV75" i="3" s="1"/>
  <c r="NF75" i="3" s="1"/>
  <c r="FV94" i="3"/>
  <c r="FX93" i="3"/>
  <c r="FY93" i="3" s="1"/>
  <c r="FH92" i="3"/>
  <c r="FI92" i="3" s="1"/>
  <c r="FJ91" i="3"/>
  <c r="FK91" i="3" s="1"/>
  <c r="GJ95" i="3"/>
  <c r="GK95" i="3" s="1"/>
  <c r="GL94" i="3"/>
  <c r="GM94" i="3" s="1"/>
  <c r="NI88" i="3"/>
  <c r="EH88" i="3"/>
  <c r="EI88" i="3" s="1"/>
  <c r="NF88" i="3" s="1"/>
  <c r="DR86" i="3"/>
  <c r="DT85" i="3"/>
  <c r="DU85" i="3" s="1"/>
  <c r="NF85" i="3" s="1"/>
  <c r="AA72" i="3"/>
  <c r="NI71" i="3"/>
  <c r="Q72" i="3"/>
  <c r="R72" i="3" s="1"/>
  <c r="S71" i="3"/>
  <c r="T71" i="3" s="1"/>
  <c r="NF71" i="3" s="1"/>
  <c r="CJ81" i="3"/>
  <c r="FC90" i="3"/>
  <c r="FD90" i="3" s="1"/>
  <c r="NF90" i="3" s="1"/>
  <c r="FA91" i="3"/>
  <c r="FB91" i="3" s="1"/>
  <c r="NI90" i="3"/>
  <c r="GY96" i="3"/>
  <c r="GZ96" i="3" s="1"/>
  <c r="HA96" i="3" s="1"/>
  <c r="NI84" i="3"/>
  <c r="DF84" i="3"/>
  <c r="DG84" i="3" s="1"/>
  <c r="NF84" i="3" s="1"/>
  <c r="FP93" i="3"/>
  <c r="BV78" i="3"/>
  <c r="NI72" i="3" l="1"/>
  <c r="S72" i="3"/>
  <c r="T72" i="3" s="1"/>
  <c r="NF72" i="3" s="1"/>
  <c r="DS86" i="3"/>
  <c r="BU79" i="3"/>
  <c r="BV79" i="3" s="1"/>
  <c r="BW78" i="3"/>
  <c r="BX78" i="3" s="1"/>
  <c r="NF78" i="3" s="1"/>
  <c r="NI78" i="3"/>
  <c r="NI91" i="3"/>
  <c r="FC91" i="3"/>
  <c r="FD91" i="3" s="1"/>
  <c r="NF91" i="3" s="1"/>
  <c r="NI92" i="3"/>
  <c r="FJ92" i="3"/>
  <c r="FK92" i="3" s="1"/>
  <c r="NF92" i="3" s="1"/>
  <c r="NI77" i="3"/>
  <c r="BI77" i="3"/>
  <c r="BJ77" i="3" s="1"/>
  <c r="NF77" i="3" s="1"/>
  <c r="NI93" i="3"/>
  <c r="FQ93" i="3"/>
  <c r="FR93" i="3" s="1"/>
  <c r="NF93" i="3" s="1"/>
  <c r="NI81" i="3"/>
  <c r="CK81" i="3"/>
  <c r="CL81" i="3" s="1"/>
  <c r="NF81" i="3" s="1"/>
  <c r="GL95" i="3"/>
  <c r="GM95" i="3" s="1"/>
  <c r="NF95" i="3" s="1"/>
  <c r="GJ96" i="3"/>
  <c r="GK96" i="3" s="1"/>
  <c r="NI95" i="3"/>
  <c r="FW94" i="3"/>
  <c r="NI79" i="3" l="1"/>
  <c r="BW79" i="3"/>
  <c r="BX79" i="3" s="1"/>
  <c r="NF79" i="3" s="1"/>
  <c r="NI86" i="3"/>
  <c r="DT86" i="3"/>
  <c r="DU86" i="3" s="1"/>
  <c r="NF86" i="3" s="1"/>
  <c r="NI96" i="3"/>
  <c r="GL96" i="3"/>
  <c r="GM96" i="3" s="1"/>
  <c r="NF96" i="3" s="1"/>
  <c r="NI94" i="3"/>
  <c r="FX94" i="3"/>
  <c r="FY94" i="3" s="1"/>
  <c r="NF94" i="3" s="1"/>
</calcChain>
</file>

<file path=xl/sharedStrings.xml><?xml version="1.0" encoding="utf-8"?>
<sst xmlns="http://schemas.openxmlformats.org/spreadsheetml/2006/main" count="494" uniqueCount="269">
  <si>
    <t>Table name:</t>
  </si>
  <si>
    <t>1980-93 California CCRC, Age Last, Female</t>
  </si>
  <si>
    <t>Table number:</t>
  </si>
  <si>
    <t>Table type:</t>
  </si>
  <si>
    <t>Aggregate</t>
  </si>
  <si>
    <t>Usage:</t>
  </si>
  <si>
    <t>Annuitant mortality</t>
  </si>
  <si>
    <t>Contributor:</t>
  </si>
  <si>
    <t>Roger Scott Lumsden 75147.2620@compuserve.com</t>
  </si>
  <si>
    <t>Country:</t>
  </si>
  <si>
    <t>US</t>
  </si>
  <si>
    <t>Source of data:</t>
  </si>
  <si>
    <t>Residents from 83 CCRCs</t>
  </si>
  <si>
    <t>Volume of data:</t>
  </si>
  <si>
    <t>Exposues of 111,207 lives, Deaths of 9,375</t>
  </si>
  <si>
    <t>Observation period:</t>
  </si>
  <si>
    <t>1980 to 1993</t>
  </si>
  <si>
    <t>Unit of observation:</t>
  </si>
  <si>
    <t>Number of lives</t>
  </si>
  <si>
    <t>Construction method:</t>
  </si>
  <si>
    <t>Whittaker B third differences with k=10,000  for ages 70-95</t>
  </si>
  <si>
    <t>Modified Gompertz curve fit for ages below 70</t>
  </si>
  <si>
    <t>Assumed a 6% rate of increase from 95 up to a peak of 500/1000</t>
  </si>
  <si>
    <t>There should be values for ages below 62, but they're not in the publication.</t>
  </si>
  <si>
    <t>Published reference:</t>
  </si>
  <si>
    <t>TSA 1995-96 Reports pp 143-184, see Table 5 p 160</t>
  </si>
  <si>
    <t>Comments:</t>
  </si>
  <si>
    <t>CCRC stands for Continuing Care Retirement Community</t>
  </si>
  <si>
    <t>These values have been checked by examining 1-3 differences</t>
  </si>
  <si>
    <t>but have not been proofread. If you find any errors</t>
  </si>
  <si>
    <t>please report them to Actuaries On Line</t>
  </si>
  <si>
    <t>Minimum age:</t>
  </si>
  <si>
    <t>Maximum age:</t>
  </si>
  <si>
    <t>Number of decimal places:</t>
  </si>
  <si>
    <t>Table values:</t>
  </si>
  <si>
    <t>1980-93 California CCRC, Age Last, Male</t>
  </si>
  <si>
    <t>Exposues of 26,737 lives, Deaths of 2,699</t>
  </si>
  <si>
    <t>Whittaker B third differences with k=10,000  for ages 75-95</t>
  </si>
  <si>
    <t>Modified Gompertz curve fit for ages below 75</t>
  </si>
  <si>
    <t>Assumed a 5% rate of increase from 95 up to a peak of 500/1000</t>
  </si>
  <si>
    <t>Female Annuity Values</t>
  </si>
  <si>
    <t xml:space="preserve">Age </t>
  </si>
  <si>
    <t>qx</t>
  </si>
  <si>
    <t>lx</t>
  </si>
  <si>
    <t>dx</t>
  </si>
  <si>
    <t>ex</t>
  </si>
  <si>
    <r>
      <t>lx</t>
    </r>
    <r>
      <rPr>
        <sz val="11"/>
        <color theme="1"/>
        <rFont val="Symbol"/>
        <family val="1"/>
        <charset val="2"/>
      </rPr>
      <t>S</t>
    </r>
  </si>
  <si>
    <t xml:space="preserve">interest at </t>
  </si>
  <si>
    <t>Dx</t>
  </si>
  <si>
    <t>i=</t>
  </si>
  <si>
    <t>v=</t>
  </si>
  <si>
    <t>Nx</t>
  </si>
  <si>
    <t>ax</t>
  </si>
  <si>
    <t>Accounting Using Inverse of ex</t>
  </si>
  <si>
    <t>Investment Return</t>
  </si>
  <si>
    <t>Remaining Fund</t>
  </si>
  <si>
    <t>Income per Year by Annuity Rule</t>
  </si>
  <si>
    <t>Survivors</t>
  </si>
  <si>
    <t>New Entrants Year 2 Annuity</t>
  </si>
  <si>
    <t>New Entrants Year 3 Annuity</t>
  </si>
  <si>
    <t>New Entrants Year 4 Annuity</t>
  </si>
  <si>
    <t>New Entrants Year 5 Annuity</t>
  </si>
  <si>
    <t>Enterprise</t>
  </si>
  <si>
    <t>Entrants Year 2</t>
  </si>
  <si>
    <t>Entrants Year 3</t>
  </si>
  <si>
    <t>Entrants Year 4</t>
  </si>
  <si>
    <t>Entrants Year 5</t>
  </si>
  <si>
    <t>New Entants Year 2 Accounting Rule</t>
  </si>
  <si>
    <t>New Entants Year 3 Accounting Rule</t>
  </si>
  <si>
    <t>New Entants Year 4 Accounting Rule</t>
  </si>
  <si>
    <t>Annual Cost</t>
  </si>
  <si>
    <t>Total Cohort Income by Accounting Rule</t>
  </si>
  <si>
    <t>Years of Operation</t>
  </si>
  <si>
    <t>Number of Original Entrants =</t>
  </si>
  <si>
    <t>Entrants Year 6</t>
  </si>
  <si>
    <t>Entrants Year 7</t>
  </si>
  <si>
    <t>Entrants Year 8</t>
  </si>
  <si>
    <t>Entrants Year 9</t>
  </si>
  <si>
    <t>Entrants Year 10</t>
  </si>
  <si>
    <t>Entrants Year 11</t>
  </si>
  <si>
    <t>Entrants Year 12</t>
  </si>
  <si>
    <t>Entrants Year 13</t>
  </si>
  <si>
    <t>Entrants Year 14</t>
  </si>
  <si>
    <t>Entrants Year 15</t>
  </si>
  <si>
    <t>Entrants Year 16</t>
  </si>
  <si>
    <t>Entrants Year 17</t>
  </si>
  <si>
    <t>Entrants Year 18</t>
  </si>
  <si>
    <t>Entrants Year 19</t>
  </si>
  <si>
    <t>Entrants Year 20</t>
  </si>
  <si>
    <t>New Entrants Year 6 Annuity</t>
  </si>
  <si>
    <t>New Entrants Year 7 Annuity</t>
  </si>
  <si>
    <t>New Entrants Year 8 Annuity</t>
  </si>
  <si>
    <t>New Entrants Year 9 Annuity</t>
  </si>
  <si>
    <t>New Entrants Year 10 Annuity</t>
  </si>
  <si>
    <t>New Entrants Year 11 Annuity</t>
  </si>
  <si>
    <t>New Entrants Year 12 Annuity</t>
  </si>
  <si>
    <t>New Entrants Year 13 Annuity</t>
  </si>
  <si>
    <t>New Entrants Year 14 Annuity</t>
  </si>
  <si>
    <t>New Entrants Year 15 Annuity</t>
  </si>
  <si>
    <t>New Entrants Year 16 Annuity</t>
  </si>
  <si>
    <t>New Entrants Year 17 Annuity</t>
  </si>
  <si>
    <t>New Entrants Year 18 Annuity</t>
  </si>
  <si>
    <t>New Entrants Year 19 Annuity</t>
  </si>
  <si>
    <t>New Entrants Year 20 Annuity</t>
  </si>
  <si>
    <t>New Entants Year 5 Accounting Rule</t>
  </si>
  <si>
    <t>New Entants Year 6 Accounting Rule</t>
  </si>
  <si>
    <t>New Entants Year 7 Accounting Rule</t>
  </si>
  <si>
    <t>New Entants Year 8 Accounting Rule</t>
  </si>
  <si>
    <t>New Entants Year 9 Accounting Rule</t>
  </si>
  <si>
    <t>New Entants Year 10 Accounting Rule</t>
  </si>
  <si>
    <t>New Entants Year 11 Accounting Rule</t>
  </si>
  <si>
    <t>New Entants Year 12 Accounting Rule</t>
  </si>
  <si>
    <t>New Entants Year 13 Accounting Rule</t>
  </si>
  <si>
    <t>New Entants Year 14 Accounting Rule</t>
  </si>
  <si>
    <t>New Entants Year 15 Accounting Rule</t>
  </si>
  <si>
    <t>New Entants Year 16 Accounting Rule</t>
  </si>
  <si>
    <t>New Entants Year 17 Accounting Rule</t>
  </si>
  <si>
    <t>New Entants Year 18 Accounting Rule</t>
  </si>
  <si>
    <t>New Entants Year 19 Accounting Rule</t>
  </si>
  <si>
    <t>New Entants Year 20 Accounting Rule</t>
  </si>
  <si>
    <t>For Group of 300 Female 85 year olds at 30000 Dollars per Year</t>
  </si>
  <si>
    <t>Assumed Entrance Fees</t>
  </si>
  <si>
    <t>After 20 Years</t>
  </si>
  <si>
    <t>Entrants Year 21</t>
  </si>
  <si>
    <t>New Entrants Year 21 Annuity</t>
  </si>
  <si>
    <t>New Entants Year 21 Accounting Rule</t>
  </si>
  <si>
    <t>Entrants Year 22</t>
  </si>
  <si>
    <t>New Entrants Year 22 Annuity</t>
  </si>
  <si>
    <t>New Entants Year 22 Accounting Rule</t>
  </si>
  <si>
    <t>Entrants Year 23</t>
  </si>
  <si>
    <t>New Entrants Year 23 Annuity</t>
  </si>
  <si>
    <t>New Entants Year 23 Accounting Rule</t>
  </si>
  <si>
    <t>Entrants Year 24</t>
  </si>
  <si>
    <t>New Entrants Year 24 Annuity</t>
  </si>
  <si>
    <t>New Entants Year 24 Accounting Rule</t>
  </si>
  <si>
    <t>Entrants Year 25</t>
  </si>
  <si>
    <t>New Entrants Year 25 Annuity</t>
  </si>
  <si>
    <t>New Entants Year 25 Accounting Rule</t>
  </si>
  <si>
    <t>Entrants Year 26</t>
  </si>
  <si>
    <t>New Entrants Year 26 Annuity</t>
  </si>
  <si>
    <t>New Entants Year 26 Accounting Rule</t>
  </si>
  <si>
    <t>Entrants Year 27</t>
  </si>
  <si>
    <t>New Entrants Year 27 Annuity</t>
  </si>
  <si>
    <t>New Entants Year 27 Accounting Rule</t>
  </si>
  <si>
    <t>Entrants Year 28</t>
  </si>
  <si>
    <t>New Entrants Year 28 Annuity</t>
  </si>
  <si>
    <t>New Entants Year 28 Accounting Rule</t>
  </si>
  <si>
    <t>Entrants Year 29</t>
  </si>
  <si>
    <t>New Entrants Year 29 Annuity</t>
  </si>
  <si>
    <t>New Entants Year 29 Accounting Rule</t>
  </si>
  <si>
    <t>Entrants Year 30</t>
  </si>
  <si>
    <t>New Entrants Year 30 Annuity</t>
  </si>
  <si>
    <t>New Entants Year 30 Accounting Rule</t>
  </si>
  <si>
    <t>Year of Operation</t>
  </si>
  <si>
    <t>Total Residents</t>
  </si>
  <si>
    <t>Annuity Income</t>
  </si>
  <si>
    <t>Income by Accounting Rule</t>
  </si>
  <si>
    <t>Entrants Year 31</t>
  </si>
  <si>
    <t>New Entrants Year 31 Annuity</t>
  </si>
  <si>
    <t>New Entants Year 31 Accounting Rule</t>
  </si>
  <si>
    <t>Entrants Year 32</t>
  </si>
  <si>
    <t>New Entrants Year 32 Annuity</t>
  </si>
  <si>
    <t>New Entants Year 32 Accounting Rule</t>
  </si>
  <si>
    <t>Entrants Year 33</t>
  </si>
  <si>
    <t>New Entrants Year 33 Annuity</t>
  </si>
  <si>
    <t>New Entants Year 33 Accounting Rule</t>
  </si>
  <si>
    <t>Entrants Year 34</t>
  </si>
  <si>
    <t>New Entrants Year 34 Annuity</t>
  </si>
  <si>
    <t>New Entants Year 34 Accounting Rule</t>
  </si>
  <si>
    <t>Entrants Year 35</t>
  </si>
  <si>
    <t>New Entrants Year 35 Annuity</t>
  </si>
  <si>
    <t>New Entants Year 35 Accounting Rule</t>
  </si>
  <si>
    <t>Entrants Year 36</t>
  </si>
  <si>
    <t>New Entrants Year 36 Annuity</t>
  </si>
  <si>
    <t>New Entants Year 36 Accounting Rule</t>
  </si>
  <si>
    <t>Entrants Year 37</t>
  </si>
  <si>
    <t>New Entrants Year 37 Annuity</t>
  </si>
  <si>
    <t>New Entants Year 37 Accounting Rule</t>
  </si>
  <si>
    <t>Entrants Year 38</t>
  </si>
  <si>
    <t>New Entrants Year 38 Annuity</t>
  </si>
  <si>
    <t>New Entants Year 38 Accounting Rule</t>
  </si>
  <si>
    <t>Entrants Year 39</t>
  </si>
  <si>
    <t>New Entrants Year 39 Annuity</t>
  </si>
  <si>
    <t>New Entants Year 39 Accounting Rule</t>
  </si>
  <si>
    <t>Entrants Year 40</t>
  </si>
  <si>
    <t>New Entrants Year 40 Annuity</t>
  </si>
  <si>
    <t>New Entants Year 40 Accounting Rule</t>
  </si>
  <si>
    <t>Entrants Year 41</t>
  </si>
  <si>
    <t>New Entrants Year 41 Annuity</t>
  </si>
  <si>
    <t>New Entants Year 41 Accounting Rule</t>
  </si>
  <si>
    <t>Entrants Year 42</t>
  </si>
  <si>
    <t>New Entrants Year 42 Annuity</t>
  </si>
  <si>
    <t>New Entants Year 42 Accounting Rule</t>
  </si>
  <si>
    <t>Entrants Year 43</t>
  </si>
  <si>
    <t>New Entrants Year 43 Annuity</t>
  </si>
  <si>
    <t>New Entants Year 43 Accounting Rule</t>
  </si>
  <si>
    <t>Entrants Year 44</t>
  </si>
  <si>
    <t>New Entrants Year 44 Annuity</t>
  </si>
  <si>
    <t>New Entants Year 44 Accounting Rule</t>
  </si>
  <si>
    <t>Entrants Year 45</t>
  </si>
  <si>
    <t>New Entrants Year 45 Annuity</t>
  </si>
  <si>
    <t>New Entants Year 45 Accounting Rule</t>
  </si>
  <si>
    <t>Entrants Year 46</t>
  </si>
  <si>
    <t>New Entrants Year 46 Annuity</t>
  </si>
  <si>
    <t>New Entants Year 46 Accounting Rule</t>
  </si>
  <si>
    <t>Entrants Year 47</t>
  </si>
  <si>
    <t>New Entrants Year 47 Annuity</t>
  </si>
  <si>
    <t>New Entants Year 47 Accounting Rule</t>
  </si>
  <si>
    <t>Entrants Year 48</t>
  </si>
  <si>
    <t>New Entrants Year 48 Annuity</t>
  </si>
  <si>
    <t>New Entants Year 48 Accounting Rule</t>
  </si>
  <si>
    <t>Entrants Year 49</t>
  </si>
  <si>
    <t>New Entrants Year 49 Annuity</t>
  </si>
  <si>
    <t>New Entants Year 49 Accounting Rule</t>
  </si>
  <si>
    <t>Entrants Year 50</t>
  </si>
  <si>
    <t>New Entrants Year 50 Annuity</t>
  </si>
  <si>
    <t>New Entants Year 50 Accounting Rule</t>
  </si>
  <si>
    <t>Total BOY Actuarial Fund</t>
  </si>
  <si>
    <t>Total BOY Accounting Fund</t>
  </si>
  <si>
    <t>Actuarial Value of Annuity Income</t>
  </si>
  <si>
    <t>Actuarial Value of Annuity Income for New Entrants Year 2</t>
  </si>
  <si>
    <t>Actuarial Value of Annuity Income for New Entrants Year 3</t>
  </si>
  <si>
    <t>Actuarial Value of Annuity Income for New Entrants Year 4</t>
  </si>
  <si>
    <t>Actuarial Value of Annuity Income for New Entrants Year 5</t>
  </si>
  <si>
    <t>Actuarial Value of Annuity Income for New Entrants Year 6</t>
  </si>
  <si>
    <t>Actuarial Value of Annuity Income for New Entrants Year 7</t>
  </si>
  <si>
    <t>Actuarial Value of Annuity Income for New Entrants Year 8</t>
  </si>
  <si>
    <t>Actuarial Value of Annuity Income for New Entrants Year 9</t>
  </si>
  <si>
    <t>Actuarial Value of Annuity Income for New Entrants Year 10</t>
  </si>
  <si>
    <t>Actuarial Value of Annuity Income for New Entrants Year 11</t>
  </si>
  <si>
    <t>Actuarial Value of Annuity Income for New Entrants Year 12</t>
  </si>
  <si>
    <t>Actuarial Value of Annuity Income for New Entrants Year 13</t>
  </si>
  <si>
    <t>Actuarial Value of Annuity Income for New Entrants Year 14</t>
  </si>
  <si>
    <t>Actuarial Value of Annuity Income for New Entrants Year 15</t>
  </si>
  <si>
    <t>Actuarial Value of Annuity Income for New Entrants Year 16</t>
  </si>
  <si>
    <t>Actuarial Value of Annuity Income for New Entrants Year 17</t>
  </si>
  <si>
    <t>Actuarial Value of Annuity Income for New Entrants Year 18</t>
  </si>
  <si>
    <t>Actuarial Value of Annuity Income for New Entrants Year 19</t>
  </si>
  <si>
    <t>Actuarial Value of Annuity Income for New Entrants Year 20</t>
  </si>
  <si>
    <t>Actuarial Value of Annuity Income for New Entrants Year 21</t>
  </si>
  <si>
    <t>Actuarial Value of Annuity Income for New Entrants Year 22</t>
  </si>
  <si>
    <t>Actuarial Value of Annuity Income for New Entrants Year 23</t>
  </si>
  <si>
    <t>Actuarial Value of Annuity Income for New Entrants Year 24</t>
  </si>
  <si>
    <t>Actuarial Value of Annuity Income for New Entrants Year 25</t>
  </si>
  <si>
    <t>Actuarial Value of Annuity Income for New Entrants Year 26</t>
  </si>
  <si>
    <t>Actuarial Value of Annuity Income for New Entrants Year 27</t>
  </si>
  <si>
    <t>Actuarial Value of Annuity Income for New Entrants Year 28</t>
  </si>
  <si>
    <t>Actuarial Value of Annuity Income for New Entrants Year 29</t>
  </si>
  <si>
    <t>Actuarial Value of Annuity Income for New Entrants Year 30</t>
  </si>
  <si>
    <t>Actuarial Value of Annuity Income for New Entrants Year 31</t>
  </si>
  <si>
    <t>Actuarial Value of Annuity Income for New Entrants Year 32</t>
  </si>
  <si>
    <t>Actuarial Value of Annuity Income for New Entrants Year 33</t>
  </si>
  <si>
    <t>Actuarial Value of Annuity Income for New Entrants Year 34</t>
  </si>
  <si>
    <t>Actuarial Value of Annuity Income for New Entrants Year 35</t>
  </si>
  <si>
    <t>Actuarial Value of Annuity Income for New Entrants Year 36</t>
  </si>
  <si>
    <t>Actuarial Value of Annuity Income for New Entrants Year 37</t>
  </si>
  <si>
    <t>Actuarial Value of Annuity Income for New Entrants Year 38</t>
  </si>
  <si>
    <t>Actuarial Value of Annuity Income for New Entrants Year 39</t>
  </si>
  <si>
    <t>Actuarial Value of Annuity Income for New Entrants Year 40</t>
  </si>
  <si>
    <t>Actuarial Value of Annuity Income for New Entrants Year 41</t>
  </si>
  <si>
    <t>Actuarial Value of Annuity Income for New Entrants Year 42</t>
  </si>
  <si>
    <t>Actuarial Value of Annuity Income for New Entrants Year 43</t>
  </si>
  <si>
    <t>Actuarial Value of Annuity Income for New Entrants Year 44</t>
  </si>
  <si>
    <t>Actuarial Value of Annuity Income for New Entrants Year 45</t>
  </si>
  <si>
    <t>Actuarial Value of Annuity Income for New Entrants Year 46</t>
  </si>
  <si>
    <t>Actuarial Value of Annuity Income for New Entrants Year 47</t>
  </si>
  <si>
    <t>Actuarial Value of Annuity Income for New Entrants Year 48</t>
  </si>
  <si>
    <t>Actuarial Value of Annuity Income for New Entrants Year 49</t>
  </si>
  <si>
    <t>Actuarial Value of Annuity Income for New Entrants Year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</si>
</sst>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6" formatCode="&quot;$&quot;#,##0_);[Red]\(&quot;$&quot;#,##0\)"/>
    <numFmt numFmtId="8" formatCode="&quot;$&quot;#,##0.00_);[Red]\(&quot;$&quot;#,##0.00\)"/>
    <numFmt numFmtId="164" formatCode="0.0000"/>
    <numFmt numFmtId="165" formatCode="0.00000"/>
    <numFmt numFmtId="166" formatCode="#####"/>
    <numFmt numFmtId="167" formatCode="######"/>
    <numFmt numFmtId="168" formatCode="&quot;$&quot;###,###,###,###,###.##"/>
    <numFmt numFmtId="169" formatCode="&quot;$&quot;##,###,###,###"/>
    <numFmt numFmtId="170" formatCode="##,###,###,###"/>
    <numFmt numFmtId="171" formatCode="&quot;$&quot;#,##0.0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/>
    <xf numFmtId="164" fontId="0" fillId="0" borderId="0" xfId="0" applyNumberFormat="1"/>
    <xf numFmtId="165" fontId="0" fillId="0" borderId="0" xfId="0" applyNumberFormat="1"/>
    <xf numFmtId="10" fontId="0" fillId="0" borderId="0" xfId="0" applyNumberFormat="1"/>
    <xf numFmtId="0" fontId="0" fillId="0" borderId="0" xfId="0" applyAlignment="1">
      <alignment horizontal="center" wrapText="1"/>
    </xf>
    <xf numFmtId="6" fontId="0" fillId="0" borderId="0" xfId="0" applyNumberFormat="1"/>
    <xf numFmtId="38" fontId="0" fillId="0" borderId="0" xfId="0" applyNumberFormat="1"/>
    <xf numFmtId="8" fontId="0" fillId="0" borderId="0" xfId="0" applyNumberFormat="1"/>
    <xf numFmtId="166" fontId="0" fillId="0" borderId="0" xfId="0" applyNumberFormat="1"/>
    <xf numFmtId="0" fontId="0" fillId="0" borderId="0" xfId="0" applyAlignment="1">
      <alignment wrapText="1"/>
    </xf>
    <xf numFmtId="167" fontId="0" fillId="0" borderId="0" xfId="0" applyNumberFormat="1"/>
    <xf numFmtId="0" fontId="1" fillId="0" borderId="0" xfId="0" applyFont="1" applyAlignment="1">
      <alignment horizontal="center" wrapText="1"/>
    </xf>
    <xf numFmtId="168" fontId="1" fillId="0" borderId="0" xfId="0" applyNumberFormat="1" applyFont="1"/>
    <xf numFmtId="169" fontId="0" fillId="0" borderId="0" xfId="0" applyNumberFormat="1"/>
    <xf numFmtId="170" fontId="0" fillId="0" borderId="0" xfId="0" applyNumberFormat="1"/>
    <xf numFmtId="168" fontId="1" fillId="0" borderId="0" xfId="0" applyNumberFormat="1" applyFont="1" applyAlignment="1">
      <alignment horizontal="center" wrapText="1"/>
    </xf>
    <xf numFmtId="167" fontId="0" fillId="0" borderId="0" xfId="0" applyNumberFormat="1" applyAlignment="1">
      <alignment horizontal="center" wrapText="1"/>
    </xf>
    <xf numFmtId="171" fontId="0" fillId="0" borderId="0" xfId="0" applyNumberFormat="1"/>
    <xf numFmtId="171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Accounting Mismatch in CCRC Entrance Fee Accounting - Over 15 Years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Proj!$P$23</c:f>
              <c:strCache>
                <c:ptCount val="1"/>
                <c:pt idx="0">
                  <c:v>Income per Year by Annuity Rule</c:v>
                </c:pt>
              </c:strCache>
            </c:strRef>
          </c:tx>
          <c:marker>
            <c:symbol val="none"/>
          </c:marker>
          <c:cat>
            <c:numRef>
              <c:f>Proj!$A$47:$A$61</c:f>
              <c:numCache>
                <c:formatCode>0</c:formatCode>
                <c:ptCount val="15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</c:numCache>
            </c:numRef>
          </c:cat>
          <c:val>
            <c:numRef>
              <c:f>Proj!$P$47:$P$61</c:f>
              <c:numCache>
                <c:formatCode>"$"#,##0_);[Red]\("$"#,##0\)</c:formatCode>
                <c:ptCount val="15"/>
                <c:pt idx="0">
                  <c:v>9000000</c:v>
                </c:pt>
                <c:pt idx="1">
                  <c:v>8306999.9999999991</c:v>
                </c:pt>
                <c:pt idx="2">
                  <c:v>7596751.4999999991</c:v>
                </c:pt>
                <c:pt idx="3">
                  <c:v>6903168.0880500004</c:v>
                </c:pt>
                <c:pt idx="4">
                  <c:v>6192141.7749808496</c:v>
                </c:pt>
                <c:pt idx="5">
                  <c:v>5452180.832870638</c:v>
                </c:pt>
                <c:pt idx="6">
                  <c:v>4728676.4363487037</c:v>
                </c:pt>
                <c:pt idx="7">
                  <c:v>4046801.2942272206</c:v>
                </c:pt>
                <c:pt idx="8">
                  <c:v>3410239.4506452796</c:v>
                </c:pt>
                <c:pt idx="9">
                  <c:v>2810378.3312767749</c:v>
                </c:pt>
                <c:pt idx="10">
                  <c:v>2259825.2161796545</c:v>
                </c:pt>
                <c:pt idx="11">
                  <c:v>1771702.9694848491</c:v>
                </c:pt>
                <c:pt idx="12">
                  <c:v>1353758.2389833732</c:v>
                </c:pt>
                <c:pt idx="13">
                  <c:v>1008414.5122187147</c:v>
                </c:pt>
                <c:pt idx="14">
                  <c:v>732915.66748056188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Proj!$T$23</c:f>
              <c:strCache>
                <c:ptCount val="1"/>
                <c:pt idx="0">
                  <c:v>Total Cohort Income by Accounting Rule</c:v>
                </c:pt>
              </c:strCache>
            </c:strRef>
          </c:tx>
          <c:marker>
            <c:symbol val="none"/>
          </c:marker>
          <c:cat>
            <c:numRef>
              <c:f>Proj!$A$47:$A$61</c:f>
              <c:numCache>
                <c:formatCode>0</c:formatCode>
                <c:ptCount val="15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  <c:pt idx="5">
                  <c:v>90</c:v>
                </c:pt>
                <c:pt idx="6">
                  <c:v>91</c:v>
                </c:pt>
                <c:pt idx="7">
                  <c:v>92</c:v>
                </c:pt>
                <c:pt idx="8">
                  <c:v>93</c:v>
                </c:pt>
                <c:pt idx="9">
                  <c:v>94</c:v>
                </c:pt>
                <c:pt idx="10">
                  <c:v>95</c:v>
                </c:pt>
                <c:pt idx="11">
                  <c:v>96</c:v>
                </c:pt>
                <c:pt idx="12">
                  <c:v>97</c:v>
                </c:pt>
                <c:pt idx="13">
                  <c:v>98</c:v>
                </c:pt>
                <c:pt idx="14">
                  <c:v>99</c:v>
                </c:pt>
              </c:numCache>
            </c:numRef>
          </c:cat>
          <c:val>
            <c:numRef>
              <c:f>Proj!$T$47:$T$61</c:f>
              <c:numCache>
                <c:formatCode>"$"#,##0_);[Red]\("$"#,##0\)</c:formatCode>
                <c:ptCount val="15"/>
                <c:pt idx="0">
                  <c:v>9423746.7028783374</c:v>
                </c:pt>
                <c:pt idx="1">
                  <c:v>8597236.9431137666</c:v>
                </c:pt>
                <c:pt idx="2">
                  <c:v>7774287.7122354805</c:v>
                </c:pt>
                <c:pt idx="3">
                  <c:v>6984209.5628531296</c:v>
                </c:pt>
                <c:pt idx="4">
                  <c:v>6197541.8820525678</c:v>
                </c:pt>
                <c:pt idx="5">
                  <c:v>5404965.5343065839</c:v>
                </c:pt>
                <c:pt idx="6">
                  <c:v>4645864.7375412313</c:v>
                </c:pt>
                <c:pt idx="7">
                  <c:v>3941225.5563932285</c:v>
                </c:pt>
                <c:pt idx="8">
                  <c:v>3293087.177383265</c:v>
                </c:pt>
                <c:pt idx="9">
                  <c:v>2692928.8016025978</c:v>
                </c:pt>
                <c:pt idx="10">
                  <c:v>2150511.9828545544</c:v>
                </c:pt>
                <c:pt idx="11">
                  <c:v>1675705.204406057</c:v>
                </c:pt>
                <c:pt idx="12">
                  <c:v>1273457.0530299449</c:v>
                </c:pt>
                <c:pt idx="13">
                  <c:v>943982.84480505949</c:v>
                </c:pt>
                <c:pt idx="14">
                  <c:v>683026.85564376996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252608"/>
        <c:axId val="109254144"/>
      </c:lineChart>
      <c:catAx>
        <c:axId val="109252608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crossAx val="109254144"/>
        <c:crosses val="autoZero"/>
        <c:auto val="1"/>
        <c:lblAlgn val="ctr"/>
        <c:lblOffset val="100"/>
        <c:noMultiLvlLbl val="0"/>
      </c:catAx>
      <c:valAx>
        <c:axId val="109254144"/>
        <c:scaling>
          <c:orientation val="minMax"/>
        </c:scaling>
        <c:delete val="0"/>
        <c:axPos val="l"/>
        <c:majorGridlines/>
        <c:numFmt formatCode="&quot;$&quot;#,##0_);[Red]\(&quot;$&quot;#,##0\)" sourceLinked="1"/>
        <c:majorTickMark val="out"/>
        <c:minorTickMark val="none"/>
        <c:tickLblPos val="nextTo"/>
        <c:crossAx val="109252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/>
              <a:t>Accounting Mismatch in CCRC Entrance Fee Accounting Over the First Five Years of a Cohort of 85 Year Old Female Entrants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Proj!$P$23</c:f>
              <c:strCache>
                <c:ptCount val="1"/>
                <c:pt idx="0">
                  <c:v>Income per Year by Annuity Rule</c:v>
                </c:pt>
              </c:strCache>
            </c:strRef>
          </c:tx>
          <c:marker>
            <c:symbol val="none"/>
          </c:marker>
          <c:cat>
            <c:numRef>
              <c:f>Proj!$A$47:$A$51</c:f>
              <c:numCache>
                <c:formatCode>0</c:formatCode>
                <c:ptCount val="5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</c:numCache>
            </c:numRef>
          </c:cat>
          <c:val>
            <c:numRef>
              <c:f>Proj!$P$47:$P$51</c:f>
              <c:numCache>
                <c:formatCode>"$"#,##0_);[Red]\("$"#,##0\)</c:formatCode>
                <c:ptCount val="5"/>
                <c:pt idx="0">
                  <c:v>9000000</c:v>
                </c:pt>
                <c:pt idx="1">
                  <c:v>8306999.9999999991</c:v>
                </c:pt>
                <c:pt idx="2">
                  <c:v>7596751.4999999991</c:v>
                </c:pt>
                <c:pt idx="3">
                  <c:v>6903168.0880500004</c:v>
                </c:pt>
                <c:pt idx="4">
                  <c:v>6192141.7749808496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Proj!$T$23</c:f>
              <c:strCache>
                <c:ptCount val="1"/>
                <c:pt idx="0">
                  <c:v>Total Cohort Income by Accounting Rule</c:v>
                </c:pt>
              </c:strCache>
            </c:strRef>
          </c:tx>
          <c:marker>
            <c:symbol val="none"/>
          </c:marker>
          <c:cat>
            <c:numRef>
              <c:f>Proj!$A$47:$A$51</c:f>
              <c:numCache>
                <c:formatCode>0</c:formatCode>
                <c:ptCount val="5"/>
                <c:pt idx="0">
                  <c:v>85</c:v>
                </c:pt>
                <c:pt idx="1">
                  <c:v>86</c:v>
                </c:pt>
                <c:pt idx="2">
                  <c:v>87</c:v>
                </c:pt>
                <c:pt idx="3">
                  <c:v>88</c:v>
                </c:pt>
                <c:pt idx="4">
                  <c:v>89</c:v>
                </c:pt>
              </c:numCache>
            </c:numRef>
          </c:cat>
          <c:val>
            <c:numRef>
              <c:f>Proj!$T$47:$T$51</c:f>
              <c:numCache>
                <c:formatCode>"$"#,##0_);[Red]\("$"#,##0\)</c:formatCode>
                <c:ptCount val="5"/>
                <c:pt idx="0">
                  <c:v>9423746.7028783374</c:v>
                </c:pt>
                <c:pt idx="1">
                  <c:v>8597236.9431137666</c:v>
                </c:pt>
                <c:pt idx="2">
                  <c:v>7774287.7122354805</c:v>
                </c:pt>
                <c:pt idx="3">
                  <c:v>6984209.5628531296</c:v>
                </c:pt>
                <c:pt idx="4">
                  <c:v>6197541.8820525678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271296"/>
        <c:axId val="109277184"/>
      </c:lineChart>
      <c:catAx>
        <c:axId val="109271296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crossAx val="109277184"/>
        <c:crosses val="autoZero"/>
        <c:auto val="1"/>
        <c:lblAlgn val="ctr"/>
        <c:lblOffset val="100"/>
        <c:noMultiLvlLbl val="0"/>
      </c:catAx>
      <c:valAx>
        <c:axId val="109277184"/>
        <c:scaling>
          <c:orientation val="minMax"/>
          <c:min val="6000000"/>
        </c:scaling>
        <c:delete val="0"/>
        <c:axPos val="l"/>
        <c:majorGridlines/>
        <c:numFmt formatCode="&quot;$&quot;#,##0_);[Red]\(&quot;$&quot;#,##0\)" sourceLinked="1"/>
        <c:majorTickMark val="out"/>
        <c:minorTickMark val="none"/>
        <c:tickLblPos val="nextTo"/>
        <c:crossAx val="1092712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FASB Revenues vs. True Matched Revenues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True Level Matched Revenue</c:v>
          </c:tx>
          <c:marker>
            <c:symbol val="none"/>
          </c:marker>
          <c:val>
            <c:numRef>
              <c:f>Proj!$FA$47:$FA$51</c:f>
              <c:numCache>
                <c:formatCode>"$"##,###,###,###</c:formatCode>
                <c:ptCount val="5"/>
              </c:numCache>
            </c:numRef>
          </c:val>
          <c:smooth val="0"/>
        </c:ser>
        <c:ser>
          <c:idx val="1"/>
          <c:order val="1"/>
          <c:tx>
            <c:v>FASB Revenue</c:v>
          </c:tx>
          <c:marker>
            <c:symbol val="none"/>
          </c:marker>
          <c:val>
            <c:numRef>
              <c:f>Proj!$FB$47:$FB$51</c:f>
              <c:numCache>
                <c:formatCode>"$"##,###,###,###</c:formatCode>
                <c:ptCount val="5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298432"/>
        <c:axId val="109300352"/>
      </c:lineChart>
      <c:catAx>
        <c:axId val="109298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Elapsed Years</a:t>
                </a:r>
              </a:p>
            </c:rich>
          </c:tx>
          <c:layout/>
          <c:overlay val="0"/>
        </c:title>
        <c:majorTickMark val="out"/>
        <c:minorTickMark val="none"/>
        <c:tickLblPos val="nextTo"/>
        <c:crossAx val="109300352"/>
        <c:crosses val="autoZero"/>
        <c:auto val="1"/>
        <c:lblAlgn val="ctr"/>
        <c:lblOffset val="100"/>
        <c:noMultiLvlLbl val="0"/>
      </c:catAx>
      <c:valAx>
        <c:axId val="109300352"/>
        <c:scaling>
          <c:orientation val="minMax"/>
        </c:scaling>
        <c:delete val="0"/>
        <c:axPos val="l"/>
        <c:majorGridlines/>
        <c:numFmt formatCode="&quot;$&quot;##,###,###,###" sourceLinked="1"/>
        <c:majorTickMark val="out"/>
        <c:minorTickMark val="none"/>
        <c:tickLblPos val="nextTo"/>
        <c:crossAx val="10929843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 horizontalDpi="0" verticalDpi="0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Rules Based Accounting vs. Matching Principle Based Accounting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3463506522161517"/>
          <c:y val="0.17441914159070365"/>
          <c:w val="0.65124128151623795"/>
          <c:h val="0.69485694993519997"/>
        </c:manualLayout>
      </c:layout>
      <c:lineChart>
        <c:grouping val="standard"/>
        <c:varyColors val="0"/>
        <c:ser>
          <c:idx val="0"/>
          <c:order val="0"/>
          <c:tx>
            <c:v>Income by Matching Principle</c:v>
          </c:tx>
          <c:spPr>
            <a:ln w="50800"/>
          </c:spPr>
          <c:marker>
            <c:symbol val="none"/>
          </c:marker>
          <c:cat>
            <c:numRef>
              <c:f>Proj!$NC$47:$NC$96</c:f>
              <c:numCache>
                <c:formatCode>##,###,###,###</c:formatCode>
                <c:ptCount val="5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</c:numCache>
            </c:numRef>
          </c:cat>
          <c:val>
            <c:numRef>
              <c:f>Proj!$NE$47:$NE$96</c:f>
              <c:numCache>
                <c:formatCode>"$"##,###,###,###</c:formatCode>
                <c:ptCount val="50"/>
                <c:pt idx="0">
                  <c:v>9000000</c:v>
                </c:pt>
                <c:pt idx="1">
                  <c:v>9000000</c:v>
                </c:pt>
                <c:pt idx="2">
                  <c:v>9000000</c:v>
                </c:pt>
                <c:pt idx="3">
                  <c:v>9000000.0000000019</c:v>
                </c:pt>
                <c:pt idx="4">
                  <c:v>9000000</c:v>
                </c:pt>
                <c:pt idx="5">
                  <c:v>9000000</c:v>
                </c:pt>
                <c:pt idx="6">
                  <c:v>9000000</c:v>
                </c:pt>
                <c:pt idx="7">
                  <c:v>8999999.9999999981</c:v>
                </c:pt>
                <c:pt idx="8">
                  <c:v>9000000</c:v>
                </c:pt>
                <c:pt idx="9">
                  <c:v>9000000</c:v>
                </c:pt>
                <c:pt idx="10">
                  <c:v>9000000</c:v>
                </c:pt>
                <c:pt idx="11">
                  <c:v>9000000</c:v>
                </c:pt>
                <c:pt idx="12">
                  <c:v>9000000</c:v>
                </c:pt>
                <c:pt idx="13">
                  <c:v>9000000</c:v>
                </c:pt>
                <c:pt idx="14">
                  <c:v>9000000</c:v>
                </c:pt>
                <c:pt idx="15">
                  <c:v>9000000</c:v>
                </c:pt>
                <c:pt idx="16">
                  <c:v>9000000.0000000019</c:v>
                </c:pt>
                <c:pt idx="17">
                  <c:v>9000000</c:v>
                </c:pt>
                <c:pt idx="18">
                  <c:v>9000000.0000000019</c:v>
                </c:pt>
                <c:pt idx="19">
                  <c:v>9000000</c:v>
                </c:pt>
                <c:pt idx="20">
                  <c:v>9000000</c:v>
                </c:pt>
                <c:pt idx="21">
                  <c:v>9000000</c:v>
                </c:pt>
                <c:pt idx="22">
                  <c:v>9000000</c:v>
                </c:pt>
                <c:pt idx="23">
                  <c:v>9000000</c:v>
                </c:pt>
                <c:pt idx="24">
                  <c:v>8999999.9999999981</c:v>
                </c:pt>
                <c:pt idx="25">
                  <c:v>9000000</c:v>
                </c:pt>
                <c:pt idx="26">
                  <c:v>9000000</c:v>
                </c:pt>
                <c:pt idx="27">
                  <c:v>9000000</c:v>
                </c:pt>
                <c:pt idx="28">
                  <c:v>9000000</c:v>
                </c:pt>
                <c:pt idx="29">
                  <c:v>8999999.9999999981</c:v>
                </c:pt>
                <c:pt idx="30">
                  <c:v>9000000</c:v>
                </c:pt>
                <c:pt idx="31">
                  <c:v>9000000</c:v>
                </c:pt>
                <c:pt idx="32">
                  <c:v>9000000</c:v>
                </c:pt>
                <c:pt idx="33">
                  <c:v>8999999.9999999981</c:v>
                </c:pt>
                <c:pt idx="34">
                  <c:v>9000000</c:v>
                </c:pt>
                <c:pt idx="35">
                  <c:v>9000000</c:v>
                </c:pt>
                <c:pt idx="36">
                  <c:v>9000000</c:v>
                </c:pt>
                <c:pt idx="37">
                  <c:v>8999999.9999999981</c:v>
                </c:pt>
                <c:pt idx="38">
                  <c:v>8999999.9999999981</c:v>
                </c:pt>
                <c:pt idx="39">
                  <c:v>8999999.9999999981</c:v>
                </c:pt>
                <c:pt idx="40">
                  <c:v>8999999.9999999981</c:v>
                </c:pt>
                <c:pt idx="41">
                  <c:v>8999999.9999999963</c:v>
                </c:pt>
                <c:pt idx="42">
                  <c:v>8999999.9999999981</c:v>
                </c:pt>
                <c:pt idx="43">
                  <c:v>8999999.9999999963</c:v>
                </c:pt>
                <c:pt idx="44">
                  <c:v>8999999.9999999981</c:v>
                </c:pt>
                <c:pt idx="45">
                  <c:v>8999999.9999999963</c:v>
                </c:pt>
                <c:pt idx="46">
                  <c:v>8999999.9999999963</c:v>
                </c:pt>
                <c:pt idx="47">
                  <c:v>8999999.9999999963</c:v>
                </c:pt>
                <c:pt idx="48">
                  <c:v>8999999.9999999944</c:v>
                </c:pt>
                <c:pt idx="49">
                  <c:v>8999999.9999999963</c:v>
                </c:pt>
              </c:numCache>
            </c:numRef>
          </c:val>
          <c:smooth val="0"/>
        </c:ser>
        <c:ser>
          <c:idx val="1"/>
          <c:order val="1"/>
          <c:tx>
            <c:v>Income by FASB Rules</c:v>
          </c:tx>
          <c:spPr>
            <a:ln w="50800"/>
          </c:spPr>
          <c:marker>
            <c:symbol val="none"/>
          </c:marker>
          <c:cat>
            <c:numRef>
              <c:f>Proj!$NC$47:$NC$96</c:f>
              <c:numCache>
                <c:formatCode>##,###,###,###</c:formatCode>
                <c:ptCount val="5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</c:numCache>
            </c:numRef>
          </c:cat>
          <c:val>
            <c:numRef>
              <c:f>Proj!$NF$47:$NF$96</c:f>
              <c:numCache>
                <c:formatCode>"$"##,###,###,###</c:formatCode>
                <c:ptCount val="50"/>
                <c:pt idx="0">
                  <c:v>9423746.7028783374</c:v>
                </c:pt>
                <c:pt idx="1">
                  <c:v>9322865.4392353985</c:v>
                </c:pt>
                <c:pt idx="2">
                  <c:v>9125849.9246646389</c:v>
                </c:pt>
                <c:pt idx="3">
                  <c:v>8886739.4573221821</c:v>
                </c:pt>
                <c:pt idx="4">
                  <c:v>8674051.6677534878</c:v>
                </c:pt>
                <c:pt idx="5">
                  <c:v>8525834.9116422832</c:v>
                </c:pt>
                <c:pt idx="6">
                  <c:v>8443202.1258668005</c:v>
                </c:pt>
                <c:pt idx="7">
                  <c:v>8424104.774589723</c:v>
                </c:pt>
                <c:pt idx="8">
                  <c:v>8461565.8628887031</c:v>
                </c:pt>
                <c:pt idx="9">
                  <c:v>8541887.6224450804</c:v>
                </c:pt>
                <c:pt idx="10">
                  <c:v>8645633.3129689228</c:v>
                </c:pt>
                <c:pt idx="11">
                  <c:v>8762642.1789344102</c:v>
                </c:pt>
                <c:pt idx="12">
                  <c:v>8890457.1522817984</c:v>
                </c:pt>
                <c:pt idx="13">
                  <c:v>9027975.8329616673</c:v>
                </c:pt>
                <c:pt idx="14">
                  <c:v>9172233.4144507088</c:v>
                </c:pt>
                <c:pt idx="15">
                  <c:v>9318261.4021975528</c:v>
                </c:pt>
                <c:pt idx="16">
                  <c:v>9460705.7105256971</c:v>
                </c:pt>
                <c:pt idx="17">
                  <c:v>9593972.8188679796</c:v>
                </c:pt>
                <c:pt idx="18">
                  <c:v>9713845.7983812783</c:v>
                </c:pt>
                <c:pt idx="19">
                  <c:v>9818099.4211932067</c:v>
                </c:pt>
                <c:pt idx="20">
                  <c:v>9906303.4414808396</c:v>
                </c:pt>
                <c:pt idx="21">
                  <c:v>9979235.8677391838</c:v>
                </c:pt>
                <c:pt idx="22">
                  <c:v>10038301.99626367</c:v>
                </c:pt>
                <c:pt idx="23">
                  <c:v>10085164.225978913</c:v>
                </c:pt>
                <c:pt idx="24">
                  <c:v>10121538.20757689</c:v>
                </c:pt>
                <c:pt idx="25">
                  <c:v>10149089.579261567</c:v>
                </c:pt>
                <c:pt idx="26">
                  <c:v>10169571.510626663</c:v>
                </c:pt>
                <c:pt idx="27">
                  <c:v>10183888.7119148</c:v>
                </c:pt>
                <c:pt idx="28">
                  <c:v>10194214.08316892</c:v>
                </c:pt>
                <c:pt idx="29">
                  <c:v>10201451.625257663</c:v>
                </c:pt>
                <c:pt idx="30">
                  <c:v>10206379.129752405</c:v>
                </c:pt>
                <c:pt idx="31">
                  <c:v>10209635.944013856</c:v>
                </c:pt>
                <c:pt idx="32">
                  <c:v>10211722.249791501</c:v>
                </c:pt>
                <c:pt idx="33">
                  <c:v>10213007.017217057</c:v>
                </c:pt>
                <c:pt idx="34">
                  <c:v>10213760.608975183</c:v>
                </c:pt>
                <c:pt idx="35">
                  <c:v>10214190.693317004</c:v>
                </c:pt>
                <c:pt idx="36">
                  <c:v>10214440.155359259</c:v>
                </c:pt>
                <c:pt idx="37">
                  <c:v>10214589.79079286</c:v>
                </c:pt>
                <c:pt idx="38">
                  <c:v>10214678.947748009</c:v>
                </c:pt>
                <c:pt idx="39">
                  <c:v>10214727.547268385</c:v>
                </c:pt>
                <c:pt idx="40">
                  <c:v>10214749.198728131</c:v>
                </c:pt>
                <c:pt idx="41">
                  <c:v>10214755.038712189</c:v>
                </c:pt>
                <c:pt idx="42">
                  <c:v>10214754.229948575</c:v>
                </c:pt>
                <c:pt idx="43">
                  <c:v>10214752.631315582</c:v>
                </c:pt>
                <c:pt idx="44">
                  <c:v>10214752.384792702</c:v>
                </c:pt>
                <c:pt idx="45">
                  <c:v>10214753.222818837</c:v>
                </c:pt>
                <c:pt idx="46">
                  <c:v>10214754.141946396</c:v>
                </c:pt>
                <c:pt idx="47">
                  <c:v>10214754.50754609</c:v>
                </c:pt>
                <c:pt idx="48">
                  <c:v>10214754.311483962</c:v>
                </c:pt>
                <c:pt idx="49">
                  <c:v>10214753.900089586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0960000"/>
        <c:axId val="110966272"/>
      </c:lineChart>
      <c:catAx>
        <c:axId val="1109600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of Operation</a:t>
                </a:r>
              </a:p>
            </c:rich>
          </c:tx>
          <c:layout/>
          <c:overlay val="0"/>
        </c:title>
        <c:numFmt formatCode="##,###,###,###" sourceLinked="1"/>
        <c:majorTickMark val="out"/>
        <c:minorTickMark val="none"/>
        <c:tickLblPos val="nextTo"/>
        <c:txPr>
          <a:bodyPr rot="-3600000"/>
          <a:lstStyle/>
          <a:p>
            <a:pPr>
              <a:defRPr/>
            </a:pPr>
            <a:endParaRPr lang="en-US"/>
          </a:p>
        </c:txPr>
        <c:crossAx val="110966272"/>
        <c:crosses val="autoZero"/>
        <c:auto val="1"/>
        <c:lblAlgn val="ctr"/>
        <c:lblOffset val="100"/>
        <c:tickLblSkip val="1"/>
        <c:noMultiLvlLbl val="0"/>
      </c:catAx>
      <c:valAx>
        <c:axId val="110966272"/>
        <c:scaling>
          <c:orientation val="minMax"/>
        </c:scaling>
        <c:delete val="0"/>
        <c:axPos val="l"/>
        <c:majorGridlines/>
        <c:numFmt formatCode="&quot;$&quot;##,###,###,###" sourceLinked="1"/>
        <c:majorTickMark val="out"/>
        <c:minorTickMark val="none"/>
        <c:tickLblPos val="nextTo"/>
        <c:crossAx val="1109600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1794875933334099"/>
          <c:y val="0.37637381426906702"/>
          <c:w val="0.17033820991995327"/>
          <c:h val="0.2969063721806558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8620647419072618"/>
          <c:y val="7.4548702245552642E-2"/>
          <c:w val="0.58893285214348201"/>
          <c:h val="0.89719889180519097"/>
        </c:manualLayout>
      </c:layout>
      <c:lineChart>
        <c:grouping val="standard"/>
        <c:varyColors val="0"/>
        <c:ser>
          <c:idx val="0"/>
          <c:order val="0"/>
          <c:tx>
            <c:strRef>
              <c:f>Proj!$NH$23</c:f>
              <c:strCache>
                <c:ptCount val="1"/>
                <c:pt idx="0">
                  <c:v>Total BOY Actuarial Fund</c:v>
                </c:pt>
              </c:strCache>
            </c:strRef>
          </c:tx>
          <c:marker>
            <c:symbol val="none"/>
          </c:marker>
          <c:cat>
            <c:numRef>
              <c:f>Proj!$NC$47:$NC$96</c:f>
              <c:numCache>
                <c:formatCode>##,###,###,###</c:formatCode>
                <c:ptCount val="5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</c:numCache>
            </c:numRef>
          </c:cat>
          <c:val>
            <c:numRef>
              <c:f>Proj!$NH$47:$NH$96</c:f>
              <c:numCache>
                <c:formatCode>"$"##,###,###,###</c:formatCode>
                <c:ptCount val="50"/>
                <c:pt idx="0">
                  <c:v>49858717.914063774</c:v>
                </c:pt>
                <c:pt idx="1">
                  <c:v>46886600.7308686</c:v>
                </c:pt>
                <c:pt idx="2">
                  <c:v>44249513.740444705</c:v>
                </c:pt>
                <c:pt idx="3">
                  <c:v>41780470.170791328</c:v>
                </c:pt>
                <c:pt idx="4">
                  <c:v>39760008.513912313</c:v>
                </c:pt>
                <c:pt idx="5">
                  <c:v>38386809.724564992</c:v>
                </c:pt>
                <c:pt idx="6">
                  <c:v>37493069.067923933</c:v>
                </c:pt>
                <c:pt idx="7">
                  <c:v>36966853.908409849</c:v>
                </c:pt>
                <c:pt idx="8">
                  <c:v>36780312.39785666</c:v>
                </c:pt>
                <c:pt idx="9">
                  <c:v>36956352.043227583</c:v>
                </c:pt>
                <c:pt idx="10">
                  <c:v>37374701.707734525</c:v>
                </c:pt>
                <c:pt idx="11">
                  <c:v>37907863.119247846</c:v>
                </c:pt>
                <c:pt idx="12">
                  <c:v>38464724.03392458</c:v>
                </c:pt>
                <c:pt idx="13">
                  <c:v>38987062.478762388</c:v>
                </c:pt>
                <c:pt idx="14">
                  <c:v>39443029.325610243</c:v>
                </c:pt>
                <c:pt idx="15">
                  <c:v>39817725.173392162</c:v>
                </c:pt>
                <c:pt idx="16">
                  <c:v>40120302.896713324</c:v>
                </c:pt>
                <c:pt idx="17">
                  <c:v>40357629.023506582</c:v>
                </c:pt>
                <c:pt idx="18">
                  <c:v>40536851.374599449</c:v>
                </c:pt>
                <c:pt idx="19">
                  <c:v>40666282.496288866</c:v>
                </c:pt>
                <c:pt idx="20">
                  <c:v>40755307.564323917</c:v>
                </c:pt>
                <c:pt idx="21">
                  <c:v>40813729.493217655</c:v>
                </c:pt>
                <c:pt idx="22">
                  <c:v>40850375.482131049</c:v>
                </c:pt>
                <c:pt idx="23">
                  <c:v>40872460.335584261</c:v>
                </c:pt>
                <c:pt idx="24">
                  <c:v>40885256.328224078</c:v>
                </c:pt>
                <c:pt idx="25">
                  <c:v>40891640.49719432</c:v>
                </c:pt>
                <c:pt idx="26">
                  <c:v>40903949.824996248</c:v>
                </c:pt>
                <c:pt idx="27">
                  <c:v>40901740.435149126</c:v>
                </c:pt>
                <c:pt idx="28">
                  <c:v>40900725.497087777</c:v>
                </c:pt>
                <c:pt idx="29">
                  <c:v>40900330.147302367</c:v>
                </c:pt>
                <c:pt idx="30">
                  <c:v>40900323.438254684</c:v>
                </c:pt>
                <c:pt idx="31">
                  <c:v>40900503.366171889</c:v>
                </c:pt>
                <c:pt idx="32">
                  <c:v>40900679.595855288</c:v>
                </c:pt>
                <c:pt idx="33">
                  <c:v>40900772.60862311</c:v>
                </c:pt>
                <c:pt idx="34">
                  <c:v>40900770.78440249</c:v>
                </c:pt>
                <c:pt idx="35">
                  <c:v>40900714.232594341</c:v>
                </c:pt>
                <c:pt idx="36">
                  <c:v>40900656.952896856</c:v>
                </c:pt>
                <c:pt idx="37">
                  <c:v>40900634.590970151</c:v>
                </c:pt>
                <c:pt idx="38">
                  <c:v>40900645.744888738</c:v>
                </c:pt>
                <c:pt idx="39">
                  <c:v>40900668.538157903</c:v>
                </c:pt>
                <c:pt idx="40">
                  <c:v>40900683.690191664</c:v>
                </c:pt>
                <c:pt idx="41">
                  <c:v>40900685.537983358</c:v>
                </c:pt>
                <c:pt idx="42">
                  <c:v>40900679.158816844</c:v>
                </c:pt>
                <c:pt idx="43">
                  <c:v>40900672.179747865</c:v>
                </c:pt>
                <c:pt idx="44">
                  <c:v>40900669.021253198</c:v>
                </c:pt>
                <c:pt idx="45">
                  <c:v>40900669.79511442</c:v>
                </c:pt>
                <c:pt idx="46">
                  <c:v>40900672.238039568</c:v>
                </c:pt>
                <c:pt idx="47">
                  <c:v>40900674.135841846</c:v>
                </c:pt>
                <c:pt idx="48">
                  <c:v>40900674.609530203</c:v>
                </c:pt>
                <c:pt idx="49">
                  <c:v>40900674.028095335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Proj!$NI$23</c:f>
              <c:strCache>
                <c:ptCount val="1"/>
                <c:pt idx="0">
                  <c:v>Total BOY Accounting Fund</c:v>
                </c:pt>
              </c:strCache>
            </c:strRef>
          </c:tx>
          <c:marker>
            <c:symbol val="none"/>
          </c:marker>
          <c:cat>
            <c:numRef>
              <c:f>Proj!$NC$47:$NC$96</c:f>
              <c:numCache>
                <c:formatCode>##,###,###,###</c:formatCode>
                <c:ptCount val="5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</c:numCache>
            </c:numRef>
          </c:cat>
          <c:val>
            <c:numRef>
              <c:f>Proj!$NI$47:$NI$96</c:f>
              <c:numCache>
                <c:formatCode>"$"##,###,###,###</c:formatCode>
                <c:ptCount val="50"/>
                <c:pt idx="0">
                  <c:v>50963887.846582927</c:v>
                </c:pt>
                <c:pt idx="1">
                  <c:v>47601179.058484986</c:v>
                </c:pt>
                <c:pt idx="2">
                  <c:v>44105430.66213578</c:v>
                </c:pt>
                <c:pt idx="3">
                  <c:v>40653026.424029693</c:v>
                </c:pt>
                <c:pt idx="4">
                  <c:v>37824398.883541644</c:v>
                </c:pt>
                <c:pt idx="5">
                  <c:v>35921369.440175205</c:v>
                </c:pt>
                <c:pt idx="6">
                  <c:v>34737128.203580521</c:v>
                </c:pt>
                <c:pt idx="7">
                  <c:v>34122001.614135377</c:v>
                </c:pt>
                <c:pt idx="8">
                  <c:v>33998944.029953778</c:v>
                </c:pt>
                <c:pt idx="9">
                  <c:v>34324904.763509348</c:v>
                </c:pt>
                <c:pt idx="10">
                  <c:v>34922966.847142726</c:v>
                </c:pt>
                <c:pt idx="11">
                  <c:v>35656480.970983021</c:v>
                </c:pt>
                <c:pt idx="12">
                  <c:v>36447697.692932867</c:v>
                </c:pt>
                <c:pt idx="13">
                  <c:v>37245743.638425149</c:v>
                </c:pt>
                <c:pt idx="14">
                  <c:v>38011776.223321259</c:v>
                </c:pt>
                <c:pt idx="15">
                  <c:v>38714057.596244544</c:v>
                </c:pt>
                <c:pt idx="16">
                  <c:v>39342194.124560729</c:v>
                </c:pt>
                <c:pt idx="17">
                  <c:v>39884258.941536233</c:v>
                </c:pt>
                <c:pt idx="18">
                  <c:v>40334899.890212938</c:v>
                </c:pt>
                <c:pt idx="19">
                  <c:v>40697179.616350099</c:v>
                </c:pt>
                <c:pt idx="20">
                  <c:v>40980583.872876078</c:v>
                </c:pt>
                <c:pt idx="21">
                  <c:v>41197780.862749822</c:v>
                </c:pt>
                <c:pt idx="22">
                  <c:v>41361418.760833405</c:v>
                </c:pt>
                <c:pt idx="23">
                  <c:v>41482715.5465471</c:v>
                </c:pt>
                <c:pt idx="24">
                  <c:v>41570927.305182919</c:v>
                </c:pt>
                <c:pt idx="25">
                  <c:v>41632921.213740274</c:v>
                </c:pt>
                <c:pt idx="26">
                  <c:v>41685079.995073706</c:v>
                </c:pt>
                <c:pt idx="27">
                  <c:v>41709266.16616042</c:v>
                </c:pt>
                <c:pt idx="28">
                  <c:v>41727118.009968475</c:v>
                </c:pt>
                <c:pt idx="29">
                  <c:v>41739730.654188395</c:v>
                </c:pt>
                <c:pt idx="30">
                  <c:v>41748295.042501435</c:v>
                </c:pt>
                <c:pt idx="31">
                  <c:v>41753809.507391438</c:v>
                </c:pt>
                <c:pt idx="32">
                  <c:v>41757132.555768684</c:v>
                </c:pt>
                <c:pt idx="33">
                  <c:v>41758962.514554873</c:v>
                </c:pt>
                <c:pt idx="34">
                  <c:v>41759855.692268364</c:v>
                </c:pt>
                <c:pt idx="35">
                  <c:v>41760269.781790666</c:v>
                </c:pt>
                <c:pt idx="36">
                  <c:v>41760503.773144312</c:v>
                </c:pt>
                <c:pt idx="37">
                  <c:v>41760683.334053427</c:v>
                </c:pt>
                <c:pt idx="38">
                  <c:v>41760822.056734003</c:v>
                </c:pt>
                <c:pt idx="39">
                  <c:v>41760903.923102811</c:v>
                </c:pt>
                <c:pt idx="40">
                  <c:v>41760929.171975531</c:v>
                </c:pt>
                <c:pt idx="41">
                  <c:v>41760919.064203456</c:v>
                </c:pt>
                <c:pt idx="42">
                  <c:v>41760900.313111126</c:v>
                </c:pt>
                <c:pt idx="43">
                  <c:v>41760889.606865726</c:v>
                </c:pt>
                <c:pt idx="44">
                  <c:v>41760889.985317975</c:v>
                </c:pt>
                <c:pt idx="45">
                  <c:v>41760896.134756342</c:v>
                </c:pt>
                <c:pt idx="46">
                  <c:v>41760901.679758415</c:v>
                </c:pt>
                <c:pt idx="47">
                  <c:v>41760903.537025943</c:v>
                </c:pt>
                <c:pt idx="48">
                  <c:v>41760902.248163208</c:v>
                </c:pt>
                <c:pt idx="49">
                  <c:v>41760900.000212483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1001600"/>
        <c:axId val="111003136"/>
      </c:lineChart>
      <c:catAx>
        <c:axId val="111001600"/>
        <c:scaling>
          <c:orientation val="minMax"/>
        </c:scaling>
        <c:delete val="0"/>
        <c:axPos val="b"/>
        <c:numFmt formatCode="##,###,###,###" sourceLinked="1"/>
        <c:majorTickMark val="out"/>
        <c:minorTickMark val="none"/>
        <c:tickLblPos val="nextTo"/>
        <c:crossAx val="111003136"/>
        <c:crosses val="autoZero"/>
        <c:auto val="1"/>
        <c:lblAlgn val="ctr"/>
        <c:lblOffset val="100"/>
        <c:noMultiLvlLbl val="0"/>
      </c:catAx>
      <c:valAx>
        <c:axId val="111003136"/>
        <c:scaling>
          <c:orientation val="minMax"/>
        </c:scaling>
        <c:delete val="0"/>
        <c:axPos val="l"/>
        <c:majorGridlines/>
        <c:numFmt formatCode="&quot;$&quot;##,###,###,###" sourceLinked="1"/>
        <c:majorTickMark val="out"/>
        <c:minorTickMark val="none"/>
        <c:tickLblPos val="nextTo"/>
        <c:crossAx val="111001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000" baseline="0"/>
            </a:pPr>
            <a:r>
              <a:rPr lang="en-US" sz="2000" baseline="0"/>
              <a:t>Rules Based Accounting vs. Matching Principle Based Accounting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3463506522161517"/>
          <c:y val="0.17441914159070365"/>
          <c:w val="0.73461263029022339"/>
          <c:h val="0.69485694993519997"/>
        </c:manualLayout>
      </c:layout>
      <c:lineChart>
        <c:grouping val="standard"/>
        <c:varyColors val="0"/>
        <c:ser>
          <c:idx val="0"/>
          <c:order val="0"/>
          <c:tx>
            <c:v>Income by Matching Principle</c:v>
          </c:tx>
          <c:spPr>
            <a:ln w="50800"/>
          </c:spPr>
          <c:marker>
            <c:symbol val="none"/>
          </c:marker>
          <c:cat>
            <c:numRef>
              <c:f>Proj!$NC$47:$NC$66</c:f>
              <c:numCache>
                <c:formatCode>##,###,###,###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cat>
          <c:val>
            <c:numRef>
              <c:f>Proj!$NE$47:$NE$66</c:f>
              <c:numCache>
                <c:formatCode>"$"##,###,###,###</c:formatCode>
                <c:ptCount val="20"/>
                <c:pt idx="0">
                  <c:v>9000000</c:v>
                </c:pt>
                <c:pt idx="1">
                  <c:v>9000000</c:v>
                </c:pt>
                <c:pt idx="2">
                  <c:v>9000000</c:v>
                </c:pt>
                <c:pt idx="3">
                  <c:v>9000000.0000000019</c:v>
                </c:pt>
                <c:pt idx="4">
                  <c:v>9000000</c:v>
                </c:pt>
                <c:pt idx="5">
                  <c:v>9000000</c:v>
                </c:pt>
                <c:pt idx="6">
                  <c:v>9000000</c:v>
                </c:pt>
                <c:pt idx="7">
                  <c:v>8999999.9999999981</c:v>
                </c:pt>
                <c:pt idx="8">
                  <c:v>9000000</c:v>
                </c:pt>
                <c:pt idx="9">
                  <c:v>9000000</c:v>
                </c:pt>
                <c:pt idx="10">
                  <c:v>9000000</c:v>
                </c:pt>
                <c:pt idx="11">
                  <c:v>9000000</c:v>
                </c:pt>
                <c:pt idx="12">
                  <c:v>9000000</c:v>
                </c:pt>
                <c:pt idx="13">
                  <c:v>9000000</c:v>
                </c:pt>
                <c:pt idx="14">
                  <c:v>9000000</c:v>
                </c:pt>
                <c:pt idx="15">
                  <c:v>9000000</c:v>
                </c:pt>
                <c:pt idx="16">
                  <c:v>9000000.0000000019</c:v>
                </c:pt>
                <c:pt idx="17">
                  <c:v>9000000</c:v>
                </c:pt>
                <c:pt idx="18">
                  <c:v>9000000.0000000019</c:v>
                </c:pt>
                <c:pt idx="19">
                  <c:v>9000000</c:v>
                </c:pt>
              </c:numCache>
            </c:numRef>
          </c:val>
          <c:smooth val="0"/>
        </c:ser>
        <c:ser>
          <c:idx val="1"/>
          <c:order val="1"/>
          <c:tx>
            <c:v>Income by FASB Rules</c:v>
          </c:tx>
          <c:spPr>
            <a:ln w="50800"/>
          </c:spPr>
          <c:marker>
            <c:symbol val="none"/>
          </c:marker>
          <c:cat>
            <c:numRef>
              <c:f>Proj!$NC$47:$NC$66</c:f>
              <c:numCache>
                <c:formatCode>##,###,###,###</c:formatCode>
                <c:ptCount val="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</c:numCache>
            </c:numRef>
          </c:cat>
          <c:val>
            <c:numRef>
              <c:f>Proj!$NF$47:$NF$66</c:f>
              <c:numCache>
                <c:formatCode>"$"##,###,###,###</c:formatCode>
                <c:ptCount val="20"/>
                <c:pt idx="0">
                  <c:v>9423746.7028783374</c:v>
                </c:pt>
                <c:pt idx="1">
                  <c:v>9322865.4392353985</c:v>
                </c:pt>
                <c:pt idx="2">
                  <c:v>9125849.9246646389</c:v>
                </c:pt>
                <c:pt idx="3">
                  <c:v>8886739.4573221821</c:v>
                </c:pt>
                <c:pt idx="4">
                  <c:v>8674051.6677534878</c:v>
                </c:pt>
                <c:pt idx="5">
                  <c:v>8525834.9116422832</c:v>
                </c:pt>
                <c:pt idx="6">
                  <c:v>8443202.1258668005</c:v>
                </c:pt>
                <c:pt idx="7">
                  <c:v>8424104.774589723</c:v>
                </c:pt>
                <c:pt idx="8">
                  <c:v>8461565.8628887031</c:v>
                </c:pt>
                <c:pt idx="9">
                  <c:v>8541887.6224450804</c:v>
                </c:pt>
                <c:pt idx="10">
                  <c:v>8645633.3129689228</c:v>
                </c:pt>
                <c:pt idx="11">
                  <c:v>8762642.1789344102</c:v>
                </c:pt>
                <c:pt idx="12">
                  <c:v>8890457.1522817984</c:v>
                </c:pt>
                <c:pt idx="13">
                  <c:v>9027975.8329616673</c:v>
                </c:pt>
                <c:pt idx="14">
                  <c:v>9172233.4144507088</c:v>
                </c:pt>
                <c:pt idx="15">
                  <c:v>9318261.4021975528</c:v>
                </c:pt>
                <c:pt idx="16">
                  <c:v>9460705.7105256971</c:v>
                </c:pt>
                <c:pt idx="17">
                  <c:v>9593972.8188679796</c:v>
                </c:pt>
                <c:pt idx="18">
                  <c:v>9713845.7983812783</c:v>
                </c:pt>
                <c:pt idx="19">
                  <c:v>9818099.4211932067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598912"/>
        <c:axId val="43972096"/>
      </c:lineChart>
      <c:catAx>
        <c:axId val="40598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Years of Operation</a:t>
                </a:r>
              </a:p>
            </c:rich>
          </c:tx>
          <c:layout/>
          <c:overlay val="0"/>
        </c:title>
        <c:numFmt formatCode="##,###,###,###" sourceLinked="1"/>
        <c:majorTickMark val="out"/>
        <c:minorTickMark val="none"/>
        <c:tickLblPos val="nextTo"/>
        <c:txPr>
          <a:bodyPr rot="-3600000"/>
          <a:lstStyle/>
          <a:p>
            <a:pPr>
              <a:defRPr sz="1200" b="1" i="0" baseline="0"/>
            </a:pPr>
            <a:endParaRPr lang="en-US"/>
          </a:p>
        </c:txPr>
        <c:crossAx val="43972096"/>
        <c:crosses val="autoZero"/>
        <c:auto val="1"/>
        <c:lblAlgn val="ctr"/>
        <c:lblOffset val="100"/>
        <c:tickLblSkip val="1"/>
        <c:noMultiLvlLbl val="0"/>
      </c:catAx>
      <c:valAx>
        <c:axId val="43972096"/>
        <c:scaling>
          <c:orientation val="minMax"/>
        </c:scaling>
        <c:delete val="0"/>
        <c:axPos val="l"/>
        <c:majorGridlines/>
        <c:numFmt formatCode="&quot;$&quot;##,###,###,###" sourceLinked="1"/>
        <c:majorTickMark val="out"/>
        <c:minorTickMark val="none"/>
        <c:tickLblPos val="nextTo"/>
        <c:crossAx val="405989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8367219273309683"/>
          <c:y val="0.37637381426906702"/>
          <c:w val="0.10461479854954232"/>
          <c:h val="0.29690637218065585"/>
        </c:manualLayout>
      </c:layout>
      <c:overlay val="0"/>
      <c:txPr>
        <a:bodyPr/>
        <a:lstStyle/>
        <a:p>
          <a:pPr>
            <a:defRPr sz="1400" b="1" i="0" baseline="0"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180975</xdr:colOff>
      <xdr:row>110</xdr:row>
      <xdr:rowOff>52387</xdr:rowOff>
    </xdr:from>
    <xdr:to>
      <xdr:col>16</xdr:col>
      <xdr:colOff>190500</xdr:colOff>
      <xdr:row>124</xdr:row>
      <xdr:rowOff>128587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438150</xdr:colOff>
      <xdr:row>92</xdr:row>
      <xdr:rowOff>33337</xdr:rowOff>
    </xdr:from>
    <xdr:to>
      <xdr:col>29</xdr:col>
      <xdr:colOff>152400</xdr:colOff>
      <xdr:row>106</xdr:row>
      <xdr:rowOff>109537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0</xdr:colOff>
      <xdr:row>75</xdr:row>
      <xdr:rowOff>14287</xdr:rowOff>
    </xdr:from>
    <xdr:to>
      <xdr:col>22</xdr:col>
      <xdr:colOff>695325</xdr:colOff>
      <xdr:row>89</xdr:row>
      <xdr:rowOff>90487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695326</xdr:colOff>
      <xdr:row>0</xdr:row>
      <xdr:rowOff>76200</xdr:rowOff>
    </xdr:from>
    <xdr:to>
      <xdr:col>24</xdr:col>
      <xdr:colOff>609601</xdr:colOff>
      <xdr:row>22</xdr:row>
      <xdr:rowOff>95250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25</xdr:col>
      <xdr:colOff>190500</xdr:colOff>
      <xdr:row>3</xdr:row>
      <xdr:rowOff>133356</xdr:rowOff>
    </xdr:from>
    <xdr:to>
      <xdr:col>29</xdr:col>
      <xdr:colOff>571500</xdr:colOff>
      <xdr:row>17</xdr:row>
      <xdr:rowOff>209556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77</xdr:row>
      <xdr:rowOff>0</xdr:rowOff>
    </xdr:from>
    <xdr:to>
      <xdr:col>19</xdr:col>
      <xdr:colOff>962025</xdr:colOff>
      <xdr:row>101</xdr:row>
      <xdr:rowOff>19050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72"/>
  <sheetViews>
    <sheetView topLeftCell="A13" workbookViewId="0">
      <selection activeCell="N14" sqref="N14"/>
    </sheetView>
  </sheetViews>
  <sheetFormatPr defaultRowHeight="15" x14ac:dyDescent="0.25"/>
  <cols>
    <col min="1" max="1" width="25.7109375" customWidth="1"/>
    <col min="2" max="2" width="9.7109375" customWidth="1"/>
  </cols>
  <sheetData>
    <row r="1" spans="1:2" x14ac:dyDescent="0.25">
      <c r="A1" t="s">
        <v>0</v>
      </c>
      <c r="B1" t="s">
        <v>35</v>
      </c>
    </row>
    <row r="2" spans="1:2" x14ac:dyDescent="0.25">
      <c r="A2" t="s">
        <v>2</v>
      </c>
      <c r="B2">
        <v>891</v>
      </c>
    </row>
    <row r="3" spans="1:2" x14ac:dyDescent="0.25">
      <c r="A3" t="s">
        <v>3</v>
      </c>
      <c r="B3" t="s">
        <v>4</v>
      </c>
    </row>
    <row r="4" spans="1:2" x14ac:dyDescent="0.25">
      <c r="A4" t="s">
        <v>5</v>
      </c>
      <c r="B4" t="s">
        <v>6</v>
      </c>
    </row>
    <row r="5" spans="1:2" x14ac:dyDescent="0.25">
      <c r="A5" t="s">
        <v>7</v>
      </c>
      <c r="B5" t="s">
        <v>8</v>
      </c>
    </row>
    <row r="6" spans="1:2" x14ac:dyDescent="0.25">
      <c r="A6" t="s">
        <v>9</v>
      </c>
      <c r="B6" t="s">
        <v>10</v>
      </c>
    </row>
    <row r="7" spans="1:2" x14ac:dyDescent="0.25">
      <c r="A7" t="s">
        <v>11</v>
      </c>
      <c r="B7" t="s">
        <v>12</v>
      </c>
    </row>
    <row r="8" spans="1:2" x14ac:dyDescent="0.25">
      <c r="A8" t="s">
        <v>13</v>
      </c>
      <c r="B8" t="s">
        <v>36</v>
      </c>
    </row>
    <row r="9" spans="1:2" x14ac:dyDescent="0.25">
      <c r="A9" t="s">
        <v>15</v>
      </c>
      <c r="B9" t="s">
        <v>16</v>
      </c>
    </row>
    <row r="10" spans="1:2" x14ac:dyDescent="0.25">
      <c r="A10" t="s">
        <v>17</v>
      </c>
      <c r="B10" t="s">
        <v>18</v>
      </c>
    </row>
    <row r="11" spans="1:2" x14ac:dyDescent="0.25">
      <c r="A11" t="s">
        <v>19</v>
      </c>
      <c r="B11" t="s">
        <v>37</v>
      </c>
    </row>
    <row r="12" spans="1:2" x14ac:dyDescent="0.25">
      <c r="B12" t="s">
        <v>38</v>
      </c>
    </row>
    <row r="13" spans="1:2" x14ac:dyDescent="0.25">
      <c r="B13" t="s">
        <v>39</v>
      </c>
    </row>
    <row r="14" spans="1:2" x14ac:dyDescent="0.25">
      <c r="B14" t="s">
        <v>23</v>
      </c>
    </row>
    <row r="15" spans="1:2" x14ac:dyDescent="0.25">
      <c r="A15" t="s">
        <v>24</v>
      </c>
      <c r="B15" t="s">
        <v>25</v>
      </c>
    </row>
    <row r="16" spans="1:2" x14ac:dyDescent="0.25">
      <c r="A16" t="s">
        <v>26</v>
      </c>
      <c r="B16" t="s">
        <v>27</v>
      </c>
    </row>
    <row r="17" spans="1:3" x14ac:dyDescent="0.25">
      <c r="B17" t="s">
        <v>28</v>
      </c>
    </row>
    <row r="18" spans="1:3" x14ac:dyDescent="0.25">
      <c r="B18" t="s">
        <v>29</v>
      </c>
    </row>
    <row r="19" spans="1:3" x14ac:dyDescent="0.25">
      <c r="B19" t="s">
        <v>30</v>
      </c>
    </row>
    <row r="20" spans="1:3" x14ac:dyDescent="0.25">
      <c r="A20" t="s">
        <v>31</v>
      </c>
      <c r="B20" s="1">
        <v>62</v>
      </c>
      <c r="C20" s="1"/>
    </row>
    <row r="21" spans="1:3" x14ac:dyDescent="0.25">
      <c r="A21" t="s">
        <v>32</v>
      </c>
      <c r="B21" s="1">
        <v>110</v>
      </c>
      <c r="C21" s="1"/>
    </row>
    <row r="22" spans="1:3" x14ac:dyDescent="0.25">
      <c r="A22" t="s">
        <v>33</v>
      </c>
      <c r="B22" s="1">
        <v>4</v>
      </c>
    </row>
    <row r="23" spans="1:3" x14ac:dyDescent="0.25">
      <c r="A23" t="s">
        <v>34</v>
      </c>
    </row>
    <row r="24" spans="1:3" x14ac:dyDescent="0.25">
      <c r="A24" s="1">
        <v>62</v>
      </c>
      <c r="B24" s="2">
        <v>1.6799999999999999E-2</v>
      </c>
    </row>
    <row r="25" spans="1:3" x14ac:dyDescent="0.25">
      <c r="A25" s="1">
        <v>63</v>
      </c>
      <c r="B25" s="2">
        <v>1.8100000000000002E-2</v>
      </c>
    </row>
    <row r="26" spans="1:3" x14ac:dyDescent="0.25">
      <c r="A26" s="1">
        <v>64</v>
      </c>
      <c r="B26" s="2">
        <v>1.9599999999999999E-2</v>
      </c>
    </row>
    <row r="27" spans="1:3" x14ac:dyDescent="0.25">
      <c r="A27" s="1">
        <v>65</v>
      </c>
      <c r="B27" s="2">
        <v>2.12E-2</v>
      </c>
    </row>
    <row r="28" spans="1:3" x14ac:dyDescent="0.25">
      <c r="A28" s="1">
        <v>66</v>
      </c>
      <c r="B28" s="2">
        <v>2.29E-2</v>
      </c>
    </row>
    <row r="29" spans="1:3" x14ac:dyDescent="0.25">
      <c r="A29" s="1">
        <v>67</v>
      </c>
      <c r="B29" s="2">
        <v>2.47E-2</v>
      </c>
    </row>
    <row r="30" spans="1:3" x14ac:dyDescent="0.25">
      <c r="A30" s="1">
        <v>68</v>
      </c>
      <c r="B30" s="2">
        <v>2.6700000000000002E-2</v>
      </c>
    </row>
    <row r="31" spans="1:3" x14ac:dyDescent="0.25">
      <c r="A31" s="1">
        <v>69</v>
      </c>
      <c r="B31" s="2">
        <v>2.8899999999999999E-2</v>
      </c>
    </row>
    <row r="32" spans="1:3" x14ac:dyDescent="0.25">
      <c r="A32" s="1">
        <v>70</v>
      </c>
      <c r="B32" s="2">
        <v>3.1E-2</v>
      </c>
    </row>
    <row r="33" spans="1:2" x14ac:dyDescent="0.25">
      <c r="A33" s="1">
        <v>71</v>
      </c>
      <c r="B33" s="2">
        <v>3.15E-2</v>
      </c>
    </row>
    <row r="34" spans="1:2" x14ac:dyDescent="0.25">
      <c r="A34" s="1">
        <v>72</v>
      </c>
      <c r="B34" s="2">
        <v>3.1199999999999999E-2</v>
      </c>
    </row>
    <row r="35" spans="1:2" x14ac:dyDescent="0.25">
      <c r="A35" s="1">
        <v>73</v>
      </c>
      <c r="B35" s="2">
        <v>3.4000000000000002E-2</v>
      </c>
    </row>
    <row r="36" spans="1:2" x14ac:dyDescent="0.25">
      <c r="A36" s="1">
        <v>74</v>
      </c>
      <c r="B36" s="2">
        <v>3.8399999999999997E-2</v>
      </c>
    </row>
    <row r="37" spans="1:2" x14ac:dyDescent="0.25">
      <c r="A37" s="1">
        <v>75</v>
      </c>
      <c r="B37" s="2">
        <v>4.2299999999999997E-2</v>
      </c>
    </row>
    <row r="38" spans="1:2" x14ac:dyDescent="0.25">
      <c r="A38" s="1">
        <v>76</v>
      </c>
      <c r="B38" s="2">
        <v>4.8399999999999999E-2</v>
      </c>
    </row>
    <row r="39" spans="1:2" x14ac:dyDescent="0.25">
      <c r="A39" s="1">
        <v>77</v>
      </c>
      <c r="B39" s="2">
        <v>5.4899999999999997E-2</v>
      </c>
    </row>
    <row r="40" spans="1:2" x14ac:dyDescent="0.25">
      <c r="A40" s="1">
        <v>78</v>
      </c>
      <c r="B40" s="2">
        <v>5.9799999999999999E-2</v>
      </c>
    </row>
    <row r="41" spans="1:2" x14ac:dyDescent="0.25">
      <c r="A41" s="1">
        <v>79</v>
      </c>
      <c r="B41" s="2">
        <v>6.2799999999999995E-2</v>
      </c>
    </row>
    <row r="42" spans="1:2" x14ac:dyDescent="0.25">
      <c r="A42" s="1">
        <v>80</v>
      </c>
      <c r="B42" s="2">
        <v>6.7100000000000007E-2</v>
      </c>
    </row>
    <row r="43" spans="1:2" x14ac:dyDescent="0.25">
      <c r="A43" s="1">
        <v>81</v>
      </c>
      <c r="B43" s="2">
        <v>7.3499999999999996E-2</v>
      </c>
    </row>
    <row r="44" spans="1:2" x14ac:dyDescent="0.25">
      <c r="A44" s="1">
        <v>82</v>
      </c>
      <c r="B44" s="2">
        <v>8.1299999999999997E-2</v>
      </c>
    </row>
    <row r="45" spans="1:2" x14ac:dyDescent="0.25">
      <c r="A45" s="1">
        <v>83</v>
      </c>
      <c r="B45" s="2">
        <v>9.2100000000000001E-2</v>
      </c>
    </row>
    <row r="46" spans="1:2" x14ac:dyDescent="0.25">
      <c r="A46" s="1">
        <v>84</v>
      </c>
      <c r="B46" s="2">
        <v>0.104</v>
      </c>
    </row>
    <row r="47" spans="1:2" x14ac:dyDescent="0.25">
      <c r="A47" s="1">
        <v>85</v>
      </c>
      <c r="B47" s="2">
        <v>0.1154</v>
      </c>
    </row>
    <row r="48" spans="1:2" x14ac:dyDescent="0.25">
      <c r="A48" s="1">
        <v>86</v>
      </c>
      <c r="B48" s="2">
        <v>0.12839999999999999</v>
      </c>
    </row>
    <row r="49" spans="1:2" x14ac:dyDescent="0.25">
      <c r="A49" s="1">
        <v>87</v>
      </c>
      <c r="B49" s="2">
        <v>0.1411</v>
      </c>
    </row>
    <row r="50" spans="1:2" x14ac:dyDescent="0.25">
      <c r="A50" s="1">
        <v>88</v>
      </c>
      <c r="B50" s="2">
        <v>0.1525</v>
      </c>
    </row>
    <row r="51" spans="1:2" x14ac:dyDescent="0.25">
      <c r="A51" s="1">
        <v>89</v>
      </c>
      <c r="B51" s="2">
        <v>0.1618</v>
      </c>
    </row>
    <row r="52" spans="1:2" x14ac:dyDescent="0.25">
      <c r="A52" s="1">
        <v>90</v>
      </c>
      <c r="B52" s="2">
        <v>0.17119999999999999</v>
      </c>
    </row>
    <row r="53" spans="1:2" x14ac:dyDescent="0.25">
      <c r="A53" s="1">
        <v>91</v>
      </c>
      <c r="B53" s="2">
        <v>0.1847</v>
      </c>
    </row>
    <row r="54" spans="1:2" x14ac:dyDescent="0.25">
      <c r="A54" s="1">
        <v>92</v>
      </c>
      <c r="B54" s="2">
        <v>0.2041</v>
      </c>
    </row>
    <row r="55" spans="1:2" x14ac:dyDescent="0.25">
      <c r="A55" s="1">
        <v>93</v>
      </c>
      <c r="B55" s="2">
        <v>0.2273</v>
      </c>
    </row>
    <row r="56" spans="1:2" x14ac:dyDescent="0.25">
      <c r="A56" s="1">
        <v>94</v>
      </c>
      <c r="B56" s="2">
        <v>0.25030000000000002</v>
      </c>
    </row>
    <row r="57" spans="1:2" x14ac:dyDescent="0.25">
      <c r="A57" s="1">
        <v>95</v>
      </c>
      <c r="B57" s="2">
        <v>0.27310000000000001</v>
      </c>
    </row>
    <row r="58" spans="1:2" x14ac:dyDescent="0.25">
      <c r="A58" s="1">
        <v>96</v>
      </c>
      <c r="B58" s="2">
        <v>0.29509999999999997</v>
      </c>
    </row>
    <row r="59" spans="1:2" x14ac:dyDescent="0.25">
      <c r="A59" s="1">
        <v>97</v>
      </c>
      <c r="B59" s="2">
        <v>0.31590000000000001</v>
      </c>
    </row>
    <row r="60" spans="1:2" x14ac:dyDescent="0.25">
      <c r="A60" s="1">
        <v>98</v>
      </c>
      <c r="B60" s="2">
        <v>0.33500000000000002</v>
      </c>
    </row>
    <row r="61" spans="1:2" x14ac:dyDescent="0.25">
      <c r="A61" s="1">
        <v>99</v>
      </c>
      <c r="B61" s="2">
        <v>0.35170000000000001</v>
      </c>
    </row>
    <row r="62" spans="1:2" x14ac:dyDescent="0.25">
      <c r="A62" s="1">
        <v>100</v>
      </c>
      <c r="B62" s="2">
        <v>0.36930000000000002</v>
      </c>
    </row>
    <row r="63" spans="1:2" x14ac:dyDescent="0.25">
      <c r="A63" s="1">
        <v>101</v>
      </c>
      <c r="B63" s="2">
        <v>0.38779999999999998</v>
      </c>
    </row>
    <row r="64" spans="1:2" x14ac:dyDescent="0.25">
      <c r="A64" s="1">
        <v>102</v>
      </c>
      <c r="B64" s="2">
        <v>0.40720000000000001</v>
      </c>
    </row>
    <row r="65" spans="1:2" x14ac:dyDescent="0.25">
      <c r="A65" s="1">
        <v>103</v>
      </c>
      <c r="B65" s="2">
        <v>0.42749999999999999</v>
      </c>
    </row>
    <row r="66" spans="1:2" x14ac:dyDescent="0.25">
      <c r="A66" s="1">
        <v>104</v>
      </c>
      <c r="B66" s="2">
        <v>0.44890000000000002</v>
      </c>
    </row>
    <row r="67" spans="1:2" x14ac:dyDescent="0.25">
      <c r="A67" s="1">
        <v>105</v>
      </c>
      <c r="B67" s="2">
        <v>0.47139999999999999</v>
      </c>
    </row>
    <row r="68" spans="1:2" x14ac:dyDescent="0.25">
      <c r="A68" s="1">
        <v>106</v>
      </c>
      <c r="B68" s="2">
        <v>0.49490000000000001</v>
      </c>
    </row>
    <row r="69" spans="1:2" x14ac:dyDescent="0.25">
      <c r="A69" s="1">
        <v>107</v>
      </c>
      <c r="B69" s="2">
        <v>0.5</v>
      </c>
    </row>
    <row r="70" spans="1:2" x14ac:dyDescent="0.25">
      <c r="A70" s="1">
        <v>108</v>
      </c>
      <c r="B70" s="2">
        <v>0.5</v>
      </c>
    </row>
    <row r="71" spans="1:2" x14ac:dyDescent="0.25">
      <c r="A71" s="1">
        <v>109</v>
      </c>
      <c r="B71" s="2">
        <v>0.5</v>
      </c>
    </row>
    <row r="72" spans="1:2" x14ac:dyDescent="0.25">
      <c r="A72" s="1">
        <v>110</v>
      </c>
      <c r="B72" s="2">
        <v>0.5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72"/>
  <sheetViews>
    <sheetView workbookViewId="0">
      <selection activeCell="B1" sqref="B1"/>
    </sheetView>
  </sheetViews>
  <sheetFormatPr defaultRowHeight="15" x14ac:dyDescent="0.25"/>
  <cols>
    <col min="1" max="1" width="25.7109375" customWidth="1"/>
    <col min="2" max="2" width="9.710937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892</v>
      </c>
    </row>
    <row r="3" spans="1:2" x14ac:dyDescent="0.25">
      <c r="A3" t="s">
        <v>3</v>
      </c>
      <c r="B3" t="s">
        <v>4</v>
      </c>
    </row>
    <row r="4" spans="1:2" x14ac:dyDescent="0.25">
      <c r="A4" t="s">
        <v>5</v>
      </c>
      <c r="B4" t="s">
        <v>6</v>
      </c>
    </row>
    <row r="5" spans="1:2" x14ac:dyDescent="0.25">
      <c r="A5" t="s">
        <v>7</v>
      </c>
      <c r="B5" t="s">
        <v>8</v>
      </c>
    </row>
    <row r="6" spans="1:2" x14ac:dyDescent="0.25">
      <c r="A6" t="s">
        <v>9</v>
      </c>
      <c r="B6" t="s">
        <v>10</v>
      </c>
    </row>
    <row r="7" spans="1:2" x14ac:dyDescent="0.25">
      <c r="A7" t="s">
        <v>11</v>
      </c>
      <c r="B7" t="s">
        <v>12</v>
      </c>
    </row>
    <row r="8" spans="1:2" x14ac:dyDescent="0.25">
      <c r="A8" t="s">
        <v>13</v>
      </c>
      <c r="B8" t="s">
        <v>14</v>
      </c>
    </row>
    <row r="9" spans="1:2" x14ac:dyDescent="0.25">
      <c r="A9" t="s">
        <v>15</v>
      </c>
      <c r="B9" t="s">
        <v>16</v>
      </c>
    </row>
    <row r="10" spans="1:2" x14ac:dyDescent="0.25">
      <c r="A10" t="s">
        <v>17</v>
      </c>
      <c r="B10" t="s">
        <v>18</v>
      </c>
    </row>
    <row r="11" spans="1:2" x14ac:dyDescent="0.25">
      <c r="A11" t="s">
        <v>19</v>
      </c>
      <c r="B11" t="s">
        <v>20</v>
      </c>
    </row>
    <row r="12" spans="1:2" x14ac:dyDescent="0.25">
      <c r="B12" t="s">
        <v>21</v>
      </c>
    </row>
    <row r="13" spans="1:2" x14ac:dyDescent="0.25">
      <c r="B13" t="s">
        <v>22</v>
      </c>
    </row>
    <row r="14" spans="1:2" x14ac:dyDescent="0.25">
      <c r="B14" t="s">
        <v>23</v>
      </c>
    </row>
    <row r="15" spans="1:2" x14ac:dyDescent="0.25">
      <c r="A15" t="s">
        <v>24</v>
      </c>
      <c r="B15" t="s">
        <v>25</v>
      </c>
    </row>
    <row r="16" spans="1:2" x14ac:dyDescent="0.25">
      <c r="A16" t="s">
        <v>26</v>
      </c>
      <c r="B16" t="s">
        <v>27</v>
      </c>
    </row>
    <row r="17" spans="1:3" x14ac:dyDescent="0.25">
      <c r="B17" t="s">
        <v>28</v>
      </c>
    </row>
    <row r="18" spans="1:3" x14ac:dyDescent="0.25">
      <c r="B18" t="s">
        <v>29</v>
      </c>
    </row>
    <row r="19" spans="1:3" x14ac:dyDescent="0.25">
      <c r="B19" t="s">
        <v>30</v>
      </c>
    </row>
    <row r="20" spans="1:3" x14ac:dyDescent="0.25">
      <c r="A20" t="s">
        <v>31</v>
      </c>
      <c r="B20" s="1">
        <v>62</v>
      </c>
      <c r="C20" s="1"/>
    </row>
    <row r="21" spans="1:3" x14ac:dyDescent="0.25">
      <c r="A21" t="s">
        <v>32</v>
      </c>
      <c r="B21" s="1">
        <v>110</v>
      </c>
      <c r="C21" s="1"/>
    </row>
    <row r="22" spans="1:3" x14ac:dyDescent="0.25">
      <c r="A22" t="s">
        <v>33</v>
      </c>
      <c r="B22" s="1">
        <v>4</v>
      </c>
    </row>
    <row r="23" spans="1:3" x14ac:dyDescent="0.25">
      <c r="A23" t="s">
        <v>34</v>
      </c>
    </row>
    <row r="24" spans="1:3" x14ac:dyDescent="0.25">
      <c r="A24" s="1">
        <v>62</v>
      </c>
      <c r="B24" s="2">
        <v>1.35E-2</v>
      </c>
    </row>
    <row r="25" spans="1:3" x14ac:dyDescent="0.25">
      <c r="A25" s="1">
        <v>63</v>
      </c>
      <c r="B25" s="2">
        <v>1.46E-2</v>
      </c>
    </row>
    <row r="26" spans="1:3" x14ac:dyDescent="0.25">
      <c r="A26" s="1">
        <v>64</v>
      </c>
      <c r="B26" s="2">
        <v>1.5699999999999999E-2</v>
      </c>
    </row>
    <row r="27" spans="1:3" x14ac:dyDescent="0.25">
      <c r="A27" s="1">
        <v>65</v>
      </c>
      <c r="B27" s="2">
        <v>1.6899999999999998E-2</v>
      </c>
    </row>
    <row r="28" spans="1:3" x14ac:dyDescent="0.25">
      <c r="A28" s="1">
        <v>66</v>
      </c>
      <c r="B28" s="2">
        <v>1.8200000000000001E-2</v>
      </c>
    </row>
    <row r="29" spans="1:3" x14ac:dyDescent="0.25">
      <c r="A29" s="1">
        <v>67</v>
      </c>
      <c r="B29" s="2">
        <v>1.9599999999999999E-2</v>
      </c>
    </row>
    <row r="30" spans="1:3" x14ac:dyDescent="0.25">
      <c r="A30" s="1">
        <v>68</v>
      </c>
      <c r="B30" s="2">
        <v>2.1000000000000001E-2</v>
      </c>
    </row>
    <row r="31" spans="1:3" x14ac:dyDescent="0.25">
      <c r="A31" s="1">
        <v>69</v>
      </c>
      <c r="B31" s="2">
        <v>2.3099999999999999E-2</v>
      </c>
    </row>
    <row r="32" spans="1:3" x14ac:dyDescent="0.25">
      <c r="A32" s="1">
        <v>70</v>
      </c>
      <c r="B32" s="2">
        <v>2.6700000000000002E-2</v>
      </c>
    </row>
    <row r="33" spans="1:2" x14ac:dyDescent="0.25">
      <c r="A33" s="1">
        <v>71</v>
      </c>
      <c r="B33" s="2">
        <v>2.7E-2</v>
      </c>
    </row>
    <row r="34" spans="1:2" x14ac:dyDescent="0.25">
      <c r="A34" s="1">
        <v>72</v>
      </c>
      <c r="B34" s="2">
        <v>2.76E-2</v>
      </c>
    </row>
    <row r="35" spans="1:2" x14ac:dyDescent="0.25">
      <c r="A35" s="1">
        <v>73</v>
      </c>
      <c r="B35" s="2">
        <v>3.1199999999999999E-2</v>
      </c>
    </row>
    <row r="36" spans="1:2" x14ac:dyDescent="0.25">
      <c r="A36" s="1">
        <v>74</v>
      </c>
      <c r="B36" s="2">
        <v>3.1899999999999998E-2</v>
      </c>
    </row>
    <row r="37" spans="1:2" x14ac:dyDescent="0.25">
      <c r="A37" s="1">
        <v>75</v>
      </c>
      <c r="B37" s="2">
        <v>3.2199999999999999E-2</v>
      </c>
    </row>
    <row r="38" spans="1:2" x14ac:dyDescent="0.25">
      <c r="A38" s="1">
        <v>76</v>
      </c>
      <c r="B38" s="2">
        <v>3.2199999999999999E-2</v>
      </c>
    </row>
    <row r="39" spans="1:2" x14ac:dyDescent="0.25">
      <c r="A39" s="1">
        <v>77</v>
      </c>
      <c r="B39" s="2">
        <v>3.4099999999999998E-2</v>
      </c>
    </row>
    <row r="40" spans="1:2" x14ac:dyDescent="0.25">
      <c r="A40" s="1">
        <v>78</v>
      </c>
      <c r="B40" s="2">
        <v>3.7900000000000003E-2</v>
      </c>
    </row>
    <row r="41" spans="1:2" x14ac:dyDescent="0.25">
      <c r="A41" s="1">
        <v>79</v>
      </c>
      <c r="B41" s="2">
        <v>4.3099999999999999E-2</v>
      </c>
    </row>
    <row r="42" spans="1:2" x14ac:dyDescent="0.25">
      <c r="A42" s="1">
        <v>80</v>
      </c>
      <c r="B42" s="2">
        <v>4.6100000000000002E-2</v>
      </c>
    </row>
    <row r="43" spans="1:2" x14ac:dyDescent="0.25">
      <c r="A43" s="1">
        <v>81</v>
      </c>
      <c r="B43" s="2">
        <v>4.9000000000000002E-2</v>
      </c>
    </row>
    <row r="44" spans="1:2" x14ac:dyDescent="0.25">
      <c r="A44" s="1">
        <v>82</v>
      </c>
      <c r="B44" s="2">
        <v>5.3400000000000003E-2</v>
      </c>
    </row>
    <row r="45" spans="1:2" x14ac:dyDescent="0.25">
      <c r="A45" s="1">
        <v>83</v>
      </c>
      <c r="B45" s="2">
        <v>6.1199999999999997E-2</v>
      </c>
    </row>
    <row r="46" spans="1:2" x14ac:dyDescent="0.25">
      <c r="A46" s="1">
        <v>84</v>
      </c>
      <c r="B46" s="2">
        <v>6.9400000000000003E-2</v>
      </c>
    </row>
    <row r="47" spans="1:2" x14ac:dyDescent="0.25">
      <c r="A47" s="1">
        <v>85</v>
      </c>
      <c r="B47" s="2">
        <v>7.6999999999999999E-2</v>
      </c>
    </row>
    <row r="48" spans="1:2" x14ac:dyDescent="0.25">
      <c r="A48" s="1">
        <v>86</v>
      </c>
      <c r="B48" s="2">
        <v>8.5500000000000007E-2</v>
      </c>
    </row>
    <row r="49" spans="1:2" x14ac:dyDescent="0.25">
      <c r="A49" s="1">
        <v>87</v>
      </c>
      <c r="B49" s="2">
        <v>9.1300000000000006E-2</v>
      </c>
    </row>
    <row r="50" spans="1:2" x14ac:dyDescent="0.25">
      <c r="A50" s="1">
        <v>88</v>
      </c>
      <c r="B50" s="2">
        <v>0.10299999999999999</v>
      </c>
    </row>
    <row r="51" spans="1:2" x14ac:dyDescent="0.25">
      <c r="A51" s="1">
        <v>89</v>
      </c>
      <c r="B51" s="2">
        <v>0.1195</v>
      </c>
    </row>
    <row r="52" spans="1:2" x14ac:dyDescent="0.25">
      <c r="A52" s="1">
        <v>90</v>
      </c>
      <c r="B52" s="2">
        <v>0.13270000000000001</v>
      </c>
    </row>
    <row r="53" spans="1:2" x14ac:dyDescent="0.25">
      <c r="A53" s="1">
        <v>91</v>
      </c>
      <c r="B53" s="2">
        <v>0.14419999999999999</v>
      </c>
    </row>
    <row r="54" spans="1:2" x14ac:dyDescent="0.25">
      <c r="A54" s="1">
        <v>92</v>
      </c>
      <c r="B54" s="2">
        <v>0.1573</v>
      </c>
    </row>
    <row r="55" spans="1:2" x14ac:dyDescent="0.25">
      <c r="A55" s="1">
        <v>93</v>
      </c>
      <c r="B55" s="2">
        <v>0.1759</v>
      </c>
    </row>
    <row r="56" spans="1:2" x14ac:dyDescent="0.25">
      <c r="A56" s="1">
        <v>94</v>
      </c>
      <c r="B56" s="2">
        <v>0.19589999999999999</v>
      </c>
    </row>
    <row r="57" spans="1:2" x14ac:dyDescent="0.25">
      <c r="A57" s="1">
        <v>95</v>
      </c>
      <c r="B57" s="2">
        <v>0.216</v>
      </c>
    </row>
    <row r="58" spans="1:2" x14ac:dyDescent="0.25">
      <c r="A58" s="1">
        <v>96</v>
      </c>
      <c r="B58" s="2">
        <v>0.2359</v>
      </c>
    </row>
    <row r="59" spans="1:2" x14ac:dyDescent="0.25">
      <c r="A59" s="1">
        <v>97</v>
      </c>
      <c r="B59" s="2">
        <v>0.25509999999999999</v>
      </c>
    </row>
    <row r="60" spans="1:2" x14ac:dyDescent="0.25">
      <c r="A60" s="1">
        <v>98</v>
      </c>
      <c r="B60" s="2">
        <v>0.2732</v>
      </c>
    </row>
    <row r="61" spans="1:2" x14ac:dyDescent="0.25">
      <c r="A61" s="1">
        <v>99</v>
      </c>
      <c r="B61" s="2">
        <v>0.28960000000000002</v>
      </c>
    </row>
    <row r="62" spans="1:2" x14ac:dyDescent="0.25">
      <c r="A62" s="1">
        <v>100</v>
      </c>
      <c r="B62" s="2">
        <v>0.307</v>
      </c>
    </row>
    <row r="63" spans="1:2" x14ac:dyDescent="0.25">
      <c r="A63" s="1">
        <v>101</v>
      </c>
      <c r="B63" s="2">
        <v>0.32540000000000002</v>
      </c>
    </row>
    <row r="64" spans="1:2" x14ac:dyDescent="0.25">
      <c r="A64" s="1">
        <v>102</v>
      </c>
      <c r="B64" s="2">
        <v>0.34489999999999998</v>
      </c>
    </row>
    <row r="65" spans="1:2" x14ac:dyDescent="0.25">
      <c r="A65" s="1">
        <v>103</v>
      </c>
      <c r="B65" s="2">
        <v>0.36559999999999998</v>
      </c>
    </row>
    <row r="66" spans="1:2" x14ac:dyDescent="0.25">
      <c r="A66" s="1">
        <v>104</v>
      </c>
      <c r="B66" s="2">
        <v>0.38750000000000001</v>
      </c>
    </row>
    <row r="67" spans="1:2" x14ac:dyDescent="0.25">
      <c r="A67" s="1">
        <v>105</v>
      </c>
      <c r="B67" s="2">
        <v>0.4108</v>
      </c>
    </row>
    <row r="68" spans="1:2" x14ac:dyDescent="0.25">
      <c r="A68" s="1">
        <v>106</v>
      </c>
      <c r="B68" s="2">
        <v>0.43540000000000001</v>
      </c>
    </row>
    <row r="69" spans="1:2" x14ac:dyDescent="0.25">
      <c r="A69" s="1">
        <v>107</v>
      </c>
      <c r="B69" s="2">
        <v>0.46150000000000002</v>
      </c>
    </row>
    <row r="70" spans="1:2" x14ac:dyDescent="0.25">
      <c r="A70" s="1">
        <v>108</v>
      </c>
      <c r="B70" s="2">
        <v>0.48920000000000002</v>
      </c>
    </row>
    <row r="71" spans="1:2" x14ac:dyDescent="0.25">
      <c r="A71" s="1">
        <v>109</v>
      </c>
      <c r="B71" s="2">
        <v>0.5</v>
      </c>
    </row>
    <row r="72" spans="1:2" x14ac:dyDescent="0.25">
      <c r="A72" s="1">
        <v>110</v>
      </c>
      <c r="B72" s="2">
        <v>0.5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NJ263"/>
  <sheetViews>
    <sheetView tabSelected="1" topLeftCell="J1" workbookViewId="0">
      <pane ySplit="23" topLeftCell="A72" activePane="bottomLeft" state="frozen"/>
      <selection activeCell="G1" sqref="G1"/>
      <selection pane="bottomLeft" activeCell="U104" sqref="U104"/>
    </sheetView>
  </sheetViews>
  <sheetFormatPr defaultColWidth="15.7109375" defaultRowHeight="15" x14ac:dyDescent="0.25"/>
  <cols>
    <col min="11" max="11" width="15.7109375" style="18"/>
  </cols>
  <sheetData>
    <row r="1" spans="1:4" x14ac:dyDescent="0.25">
      <c r="A1" t="s">
        <v>40</v>
      </c>
    </row>
    <row r="14" spans="1:4" x14ac:dyDescent="0.25">
      <c r="D14">
        <f>$B$18</f>
        <v>300</v>
      </c>
    </row>
    <row r="18" spans="1:374" ht="45" x14ac:dyDescent="0.25">
      <c r="A18" s="10" t="s">
        <v>73</v>
      </c>
      <c r="B18">
        <v>300</v>
      </c>
      <c r="L18" s="6"/>
    </row>
    <row r="19" spans="1:374" x14ac:dyDescent="0.25">
      <c r="B19" t="s">
        <v>49</v>
      </c>
      <c r="C19" t="s">
        <v>50</v>
      </c>
    </row>
    <row r="20" spans="1:374" x14ac:dyDescent="0.25">
      <c r="A20" t="s">
        <v>47</v>
      </c>
      <c r="B20" s="4">
        <v>0.03</v>
      </c>
      <c r="C20">
        <f>1/(1+B20)</f>
        <v>0.970873786407767</v>
      </c>
    </row>
    <row r="21" spans="1:374" x14ac:dyDescent="0.25">
      <c r="A21" t="s">
        <v>70</v>
      </c>
      <c r="B21" s="6">
        <v>30000</v>
      </c>
    </row>
    <row r="22" spans="1:374" x14ac:dyDescent="0.25">
      <c r="V22" s="5"/>
      <c r="W22" s="5"/>
      <c r="X22" s="5"/>
      <c r="Y22" s="5"/>
      <c r="Z22" s="5"/>
      <c r="AA22" s="5"/>
      <c r="AC22" s="5"/>
      <c r="AD22" s="5"/>
      <c r="AE22" s="5"/>
      <c r="AF22" s="5"/>
      <c r="AG22" s="5"/>
      <c r="AH22" s="5"/>
      <c r="AJ22" s="5"/>
      <c r="AK22" s="5"/>
      <c r="AL22" s="5"/>
      <c r="AM22" s="5"/>
      <c r="AN22" s="5"/>
      <c r="AO22" s="5"/>
      <c r="AQ22" s="5"/>
      <c r="AR22" s="5"/>
      <c r="AS22" s="5"/>
      <c r="AT22" s="5"/>
      <c r="AU22" s="5"/>
      <c r="AV22" s="5"/>
      <c r="AX22" s="5"/>
      <c r="AY22" s="5"/>
      <c r="AZ22" s="5"/>
      <c r="BA22" s="5"/>
      <c r="BB22" s="5"/>
      <c r="BC22" s="5"/>
      <c r="BE22" s="5"/>
      <c r="BF22" s="5"/>
      <c r="BG22" s="5"/>
      <c r="BH22" s="5"/>
      <c r="BI22" s="5"/>
      <c r="BJ22" s="5"/>
      <c r="BL22" s="5"/>
      <c r="BM22" s="5"/>
      <c r="BN22" s="5"/>
      <c r="BO22" s="5"/>
      <c r="BP22" s="5"/>
      <c r="BQ22" s="5"/>
      <c r="BS22" s="5"/>
      <c r="BT22" s="5"/>
      <c r="BU22" s="5"/>
      <c r="BV22" s="5"/>
      <c r="BW22" s="5"/>
      <c r="BX22" s="5"/>
      <c r="BZ22" s="5"/>
      <c r="CA22" s="5"/>
      <c r="CB22" s="5"/>
      <c r="CC22" s="5"/>
      <c r="CD22" s="5"/>
      <c r="CE22" s="5"/>
      <c r="CG22" s="5"/>
      <c r="CH22" s="5"/>
      <c r="CI22" s="5"/>
      <c r="CJ22" s="5"/>
      <c r="CK22" s="5"/>
      <c r="CL22" s="5"/>
      <c r="CN22" s="5"/>
      <c r="CO22" s="5"/>
      <c r="CP22" s="5"/>
      <c r="CQ22" s="5"/>
      <c r="CR22" s="5"/>
      <c r="CS22" s="5"/>
      <c r="CU22" s="5"/>
      <c r="CV22" s="5"/>
      <c r="CW22" s="5"/>
      <c r="CX22" s="5"/>
      <c r="CY22" s="5"/>
      <c r="CZ22" s="5"/>
      <c r="DB22" s="5"/>
      <c r="DC22" s="5"/>
      <c r="DD22" s="5"/>
      <c r="DE22" s="5"/>
      <c r="DF22" s="5"/>
      <c r="DG22" s="5"/>
      <c r="DI22" s="5"/>
      <c r="DJ22" s="5"/>
      <c r="DK22" s="5"/>
      <c r="DL22" s="5"/>
      <c r="DM22" s="5"/>
      <c r="DN22" s="5"/>
      <c r="DP22" s="5"/>
      <c r="DQ22" s="5"/>
      <c r="DR22" s="5"/>
      <c r="DS22" s="5"/>
      <c r="DT22" s="5"/>
      <c r="DU22" s="5"/>
      <c r="DW22" s="5"/>
      <c r="DX22" s="5"/>
      <c r="DY22" s="5"/>
      <c r="DZ22" s="5"/>
      <c r="EA22" s="5"/>
      <c r="EB22" s="5"/>
      <c r="ED22" s="5"/>
      <c r="EE22" s="5"/>
      <c r="EF22" s="5"/>
      <c r="EG22" s="5"/>
      <c r="EH22" s="5"/>
      <c r="EI22" s="5"/>
      <c r="EK22" s="5"/>
      <c r="EL22" s="5"/>
      <c r="EM22" s="5"/>
      <c r="EN22" s="5"/>
      <c r="EO22" s="5"/>
      <c r="EP22" s="5"/>
      <c r="ER22" s="5"/>
      <c r="ES22" s="5"/>
      <c r="ET22" s="5"/>
      <c r="EU22" s="5"/>
      <c r="EV22" s="5"/>
      <c r="EW22" s="5"/>
      <c r="FA22" s="20" t="s">
        <v>62</v>
      </c>
      <c r="FB22" s="20"/>
    </row>
    <row r="23" spans="1:374" ht="60" x14ac:dyDescent="0.25">
      <c r="A23" s="5" t="s">
        <v>41</v>
      </c>
      <c r="B23" s="5" t="s">
        <v>42</v>
      </c>
      <c r="C23" s="5"/>
      <c r="D23" s="5" t="s">
        <v>43</v>
      </c>
      <c r="E23" s="5" t="s">
        <v>44</v>
      </c>
      <c r="F23" s="5" t="s">
        <v>46</v>
      </c>
      <c r="G23" s="5" t="s">
        <v>45</v>
      </c>
      <c r="H23" s="5"/>
      <c r="I23" s="5" t="s">
        <v>48</v>
      </c>
      <c r="J23" s="5" t="s">
        <v>51</v>
      </c>
      <c r="K23" s="19" t="s">
        <v>52</v>
      </c>
      <c r="L23" s="5"/>
      <c r="M23" s="5" t="s">
        <v>72</v>
      </c>
      <c r="N23" s="5" t="s">
        <v>57</v>
      </c>
      <c r="O23" s="5" t="s">
        <v>120</v>
      </c>
      <c r="P23" s="5" t="s">
        <v>56</v>
      </c>
      <c r="Q23" s="5" t="s">
        <v>53</v>
      </c>
      <c r="R23" s="5" t="s">
        <v>55</v>
      </c>
      <c r="S23" s="5" t="s">
        <v>54</v>
      </c>
      <c r="T23" s="5" t="s">
        <v>71</v>
      </c>
      <c r="U23" s="5" t="s">
        <v>219</v>
      </c>
      <c r="V23" s="5" t="s">
        <v>63</v>
      </c>
      <c r="W23" s="5" t="s">
        <v>58</v>
      </c>
      <c r="X23" s="5" t="s">
        <v>53</v>
      </c>
      <c r="Y23" s="5" t="s">
        <v>55</v>
      </c>
      <c r="Z23" s="5" t="s">
        <v>54</v>
      </c>
      <c r="AA23" s="5" t="s">
        <v>67</v>
      </c>
      <c r="AB23" s="5" t="s">
        <v>220</v>
      </c>
      <c r="AC23" s="5" t="s">
        <v>64</v>
      </c>
      <c r="AD23" s="5" t="s">
        <v>59</v>
      </c>
      <c r="AE23" s="5" t="s">
        <v>53</v>
      </c>
      <c r="AF23" s="5" t="s">
        <v>55</v>
      </c>
      <c r="AG23" s="5" t="s">
        <v>54</v>
      </c>
      <c r="AH23" s="5" t="s">
        <v>68</v>
      </c>
      <c r="AI23" s="5" t="s">
        <v>221</v>
      </c>
      <c r="AJ23" s="5" t="s">
        <v>65</v>
      </c>
      <c r="AK23" s="5" t="s">
        <v>60</v>
      </c>
      <c r="AL23" s="5" t="s">
        <v>53</v>
      </c>
      <c r="AM23" s="5" t="s">
        <v>55</v>
      </c>
      <c r="AN23" s="5" t="s">
        <v>54</v>
      </c>
      <c r="AO23" s="5" t="s">
        <v>69</v>
      </c>
      <c r="AP23" s="5" t="s">
        <v>222</v>
      </c>
      <c r="AQ23" s="5" t="s">
        <v>66</v>
      </c>
      <c r="AR23" s="5" t="s">
        <v>61</v>
      </c>
      <c r="AS23" s="5" t="s">
        <v>53</v>
      </c>
      <c r="AT23" s="5" t="s">
        <v>55</v>
      </c>
      <c r="AU23" s="5" t="s">
        <v>54</v>
      </c>
      <c r="AV23" s="5" t="s">
        <v>104</v>
      </c>
      <c r="AW23" s="5" t="s">
        <v>223</v>
      </c>
      <c r="AX23" s="5" t="s">
        <v>74</v>
      </c>
      <c r="AY23" s="5" t="s">
        <v>89</v>
      </c>
      <c r="AZ23" s="5" t="s">
        <v>53</v>
      </c>
      <c r="BA23" s="5" t="s">
        <v>55</v>
      </c>
      <c r="BB23" s="5" t="s">
        <v>54</v>
      </c>
      <c r="BC23" s="5" t="s">
        <v>105</v>
      </c>
      <c r="BD23" s="5" t="s">
        <v>224</v>
      </c>
      <c r="BE23" s="5" t="s">
        <v>75</v>
      </c>
      <c r="BF23" s="5" t="s">
        <v>90</v>
      </c>
      <c r="BG23" s="5" t="s">
        <v>53</v>
      </c>
      <c r="BH23" s="5" t="s">
        <v>55</v>
      </c>
      <c r="BI23" s="5" t="s">
        <v>54</v>
      </c>
      <c r="BJ23" s="5" t="s">
        <v>106</v>
      </c>
      <c r="BK23" s="5" t="s">
        <v>225</v>
      </c>
      <c r="BL23" s="5" t="s">
        <v>76</v>
      </c>
      <c r="BM23" s="5" t="s">
        <v>91</v>
      </c>
      <c r="BN23" s="5" t="s">
        <v>53</v>
      </c>
      <c r="BO23" s="5" t="s">
        <v>55</v>
      </c>
      <c r="BP23" s="5" t="s">
        <v>54</v>
      </c>
      <c r="BQ23" s="5" t="s">
        <v>107</v>
      </c>
      <c r="BR23" s="5" t="s">
        <v>226</v>
      </c>
      <c r="BS23" s="5" t="s">
        <v>77</v>
      </c>
      <c r="BT23" s="5" t="s">
        <v>92</v>
      </c>
      <c r="BU23" s="5" t="s">
        <v>53</v>
      </c>
      <c r="BV23" s="5" t="s">
        <v>55</v>
      </c>
      <c r="BW23" s="5" t="s">
        <v>54</v>
      </c>
      <c r="BX23" s="5" t="s">
        <v>108</v>
      </c>
      <c r="BY23" s="5" t="s">
        <v>227</v>
      </c>
      <c r="BZ23" s="5" t="s">
        <v>78</v>
      </c>
      <c r="CA23" s="5" t="s">
        <v>93</v>
      </c>
      <c r="CB23" s="5" t="s">
        <v>53</v>
      </c>
      <c r="CC23" s="5" t="s">
        <v>55</v>
      </c>
      <c r="CD23" s="5" t="s">
        <v>54</v>
      </c>
      <c r="CE23" s="5" t="s">
        <v>109</v>
      </c>
      <c r="CF23" s="5" t="s">
        <v>228</v>
      </c>
      <c r="CG23" s="5" t="s">
        <v>79</v>
      </c>
      <c r="CH23" s="5" t="s">
        <v>94</v>
      </c>
      <c r="CI23" s="5" t="s">
        <v>53</v>
      </c>
      <c r="CJ23" s="5" t="s">
        <v>55</v>
      </c>
      <c r="CK23" s="5" t="s">
        <v>54</v>
      </c>
      <c r="CL23" s="5" t="s">
        <v>110</v>
      </c>
      <c r="CM23" s="5" t="s">
        <v>229</v>
      </c>
      <c r="CN23" s="5" t="s">
        <v>80</v>
      </c>
      <c r="CO23" s="5" t="s">
        <v>95</v>
      </c>
      <c r="CP23" s="5" t="s">
        <v>53</v>
      </c>
      <c r="CQ23" s="5" t="s">
        <v>55</v>
      </c>
      <c r="CR23" s="5" t="s">
        <v>54</v>
      </c>
      <c r="CS23" s="5" t="s">
        <v>111</v>
      </c>
      <c r="CT23" s="5" t="s">
        <v>230</v>
      </c>
      <c r="CU23" s="5" t="s">
        <v>81</v>
      </c>
      <c r="CV23" s="5" t="s">
        <v>96</v>
      </c>
      <c r="CW23" s="5" t="s">
        <v>53</v>
      </c>
      <c r="CX23" s="5" t="s">
        <v>55</v>
      </c>
      <c r="CY23" s="5" t="s">
        <v>54</v>
      </c>
      <c r="CZ23" s="5" t="s">
        <v>112</v>
      </c>
      <c r="DA23" s="5" t="s">
        <v>231</v>
      </c>
      <c r="DB23" s="5" t="s">
        <v>82</v>
      </c>
      <c r="DC23" s="5" t="s">
        <v>97</v>
      </c>
      <c r="DD23" s="5" t="s">
        <v>53</v>
      </c>
      <c r="DE23" s="5" t="s">
        <v>55</v>
      </c>
      <c r="DF23" s="5" t="s">
        <v>54</v>
      </c>
      <c r="DG23" s="5" t="s">
        <v>113</v>
      </c>
      <c r="DH23" s="5" t="s">
        <v>232</v>
      </c>
      <c r="DI23" s="5" t="s">
        <v>83</v>
      </c>
      <c r="DJ23" s="5" t="s">
        <v>98</v>
      </c>
      <c r="DK23" s="5" t="s">
        <v>53</v>
      </c>
      <c r="DL23" s="5" t="s">
        <v>55</v>
      </c>
      <c r="DM23" s="5" t="s">
        <v>54</v>
      </c>
      <c r="DN23" s="5" t="s">
        <v>114</v>
      </c>
      <c r="DO23" s="5" t="s">
        <v>233</v>
      </c>
      <c r="DP23" s="5" t="s">
        <v>84</v>
      </c>
      <c r="DQ23" s="5" t="s">
        <v>99</v>
      </c>
      <c r="DR23" s="5" t="s">
        <v>53</v>
      </c>
      <c r="DS23" s="5" t="s">
        <v>55</v>
      </c>
      <c r="DT23" s="5" t="s">
        <v>54</v>
      </c>
      <c r="DU23" s="5" t="s">
        <v>115</v>
      </c>
      <c r="DV23" s="5" t="s">
        <v>234</v>
      </c>
      <c r="DW23" s="5" t="s">
        <v>85</v>
      </c>
      <c r="DX23" s="5" t="s">
        <v>100</v>
      </c>
      <c r="DY23" s="5" t="s">
        <v>53</v>
      </c>
      <c r="DZ23" s="5" t="s">
        <v>55</v>
      </c>
      <c r="EA23" s="5" t="s">
        <v>54</v>
      </c>
      <c r="EB23" s="5" t="s">
        <v>116</v>
      </c>
      <c r="EC23" s="5" t="s">
        <v>235</v>
      </c>
      <c r="ED23" s="5" t="s">
        <v>86</v>
      </c>
      <c r="EE23" s="5" t="s">
        <v>101</v>
      </c>
      <c r="EF23" s="5" t="s">
        <v>53</v>
      </c>
      <c r="EG23" s="5" t="s">
        <v>55</v>
      </c>
      <c r="EH23" s="5" t="s">
        <v>54</v>
      </c>
      <c r="EI23" s="5" t="s">
        <v>117</v>
      </c>
      <c r="EJ23" s="5" t="s">
        <v>236</v>
      </c>
      <c r="EK23" s="5" t="s">
        <v>87</v>
      </c>
      <c r="EL23" s="5" t="s">
        <v>102</v>
      </c>
      <c r="EM23" s="5" t="s">
        <v>53</v>
      </c>
      <c r="EN23" s="5" t="s">
        <v>55</v>
      </c>
      <c r="EO23" s="5" t="s">
        <v>54</v>
      </c>
      <c r="EP23" s="5" t="s">
        <v>118</v>
      </c>
      <c r="EQ23" s="5" t="s">
        <v>237</v>
      </c>
      <c r="ER23" s="5" t="s">
        <v>88</v>
      </c>
      <c r="ES23" s="5" t="s">
        <v>103</v>
      </c>
      <c r="ET23" s="5" t="s">
        <v>53</v>
      </c>
      <c r="EU23" s="5" t="s">
        <v>55</v>
      </c>
      <c r="EV23" s="5" t="s">
        <v>54</v>
      </c>
      <c r="EW23" s="5" t="s">
        <v>119</v>
      </c>
      <c r="EX23" s="5" t="s">
        <v>238</v>
      </c>
      <c r="EY23" s="5" t="s">
        <v>123</v>
      </c>
      <c r="EZ23" s="5" t="s">
        <v>124</v>
      </c>
      <c r="FA23" s="5" t="s">
        <v>53</v>
      </c>
      <c r="FB23" s="5" t="s">
        <v>55</v>
      </c>
      <c r="FC23" s="5" t="s">
        <v>54</v>
      </c>
      <c r="FD23" s="5" t="s">
        <v>125</v>
      </c>
      <c r="FE23" s="5" t="s">
        <v>239</v>
      </c>
      <c r="FF23" s="5" t="s">
        <v>126</v>
      </c>
      <c r="FG23" s="5" t="s">
        <v>127</v>
      </c>
      <c r="FH23" s="5" t="s">
        <v>53</v>
      </c>
      <c r="FI23" s="5" t="s">
        <v>55</v>
      </c>
      <c r="FJ23" s="5" t="s">
        <v>54</v>
      </c>
      <c r="FK23" s="5" t="s">
        <v>128</v>
      </c>
      <c r="FL23" s="5" t="s">
        <v>240</v>
      </c>
      <c r="FM23" s="5" t="s">
        <v>129</v>
      </c>
      <c r="FN23" s="5" t="s">
        <v>130</v>
      </c>
      <c r="FO23" s="5" t="s">
        <v>53</v>
      </c>
      <c r="FP23" s="5" t="s">
        <v>55</v>
      </c>
      <c r="FQ23" s="5" t="s">
        <v>54</v>
      </c>
      <c r="FR23" s="5" t="s">
        <v>131</v>
      </c>
      <c r="FS23" s="5" t="s">
        <v>241</v>
      </c>
      <c r="FT23" s="5" t="s">
        <v>132</v>
      </c>
      <c r="FU23" s="5" t="s">
        <v>133</v>
      </c>
      <c r="FV23" s="5" t="s">
        <v>53</v>
      </c>
      <c r="FW23" s="5" t="s">
        <v>55</v>
      </c>
      <c r="FX23" s="5" t="s">
        <v>54</v>
      </c>
      <c r="FY23" s="5" t="s">
        <v>134</v>
      </c>
      <c r="FZ23" s="5" t="s">
        <v>242</v>
      </c>
      <c r="GA23" s="5" t="s">
        <v>135</v>
      </c>
      <c r="GB23" s="5" t="s">
        <v>136</v>
      </c>
      <c r="GC23" s="5" t="s">
        <v>53</v>
      </c>
      <c r="GD23" s="5" t="s">
        <v>55</v>
      </c>
      <c r="GE23" s="5" t="s">
        <v>54</v>
      </c>
      <c r="GF23" s="5" t="s">
        <v>137</v>
      </c>
      <c r="GG23" s="5" t="s">
        <v>243</v>
      </c>
      <c r="GH23" s="5" t="s">
        <v>138</v>
      </c>
      <c r="GI23" s="5" t="s">
        <v>139</v>
      </c>
      <c r="GJ23" s="5" t="s">
        <v>53</v>
      </c>
      <c r="GK23" s="5" t="s">
        <v>55</v>
      </c>
      <c r="GL23" s="5" t="s">
        <v>54</v>
      </c>
      <c r="GM23" s="5" t="s">
        <v>140</v>
      </c>
      <c r="GN23" s="5" t="s">
        <v>244</v>
      </c>
      <c r="GO23" s="5" t="s">
        <v>141</v>
      </c>
      <c r="GP23" s="5" t="s">
        <v>142</v>
      </c>
      <c r="GQ23" s="5" t="s">
        <v>53</v>
      </c>
      <c r="GR23" s="5" t="s">
        <v>55</v>
      </c>
      <c r="GS23" s="5" t="s">
        <v>54</v>
      </c>
      <c r="GT23" s="5" t="s">
        <v>143</v>
      </c>
      <c r="GU23" s="5" t="s">
        <v>245</v>
      </c>
      <c r="GV23" s="5" t="s">
        <v>144</v>
      </c>
      <c r="GW23" s="5" t="s">
        <v>145</v>
      </c>
      <c r="GX23" s="5" t="s">
        <v>53</v>
      </c>
      <c r="GY23" s="5" t="s">
        <v>55</v>
      </c>
      <c r="GZ23" s="5" t="s">
        <v>54</v>
      </c>
      <c r="HA23" s="5" t="s">
        <v>146</v>
      </c>
      <c r="HB23" s="5" t="s">
        <v>246</v>
      </c>
      <c r="HC23" s="5" t="s">
        <v>147</v>
      </c>
      <c r="HD23" s="5" t="s">
        <v>148</v>
      </c>
      <c r="HE23" s="5" t="s">
        <v>53</v>
      </c>
      <c r="HF23" s="5" t="s">
        <v>55</v>
      </c>
      <c r="HG23" s="5" t="s">
        <v>54</v>
      </c>
      <c r="HH23" s="5" t="s">
        <v>149</v>
      </c>
      <c r="HI23" s="5" t="s">
        <v>247</v>
      </c>
      <c r="HJ23" s="5" t="s">
        <v>150</v>
      </c>
      <c r="HK23" s="5" t="s">
        <v>151</v>
      </c>
      <c r="HL23" s="5" t="s">
        <v>53</v>
      </c>
      <c r="HM23" s="5" t="s">
        <v>55</v>
      </c>
      <c r="HN23" s="5" t="s">
        <v>54</v>
      </c>
      <c r="HO23" s="5" t="s">
        <v>152</v>
      </c>
      <c r="HP23" s="5" t="s">
        <v>248</v>
      </c>
      <c r="HQ23" s="5" t="s">
        <v>157</v>
      </c>
      <c r="HR23" s="5" t="s">
        <v>158</v>
      </c>
      <c r="HS23" s="5" t="s">
        <v>53</v>
      </c>
      <c r="HT23" s="5" t="s">
        <v>55</v>
      </c>
      <c r="HU23" s="5" t="s">
        <v>54</v>
      </c>
      <c r="HV23" s="5" t="s">
        <v>159</v>
      </c>
      <c r="HW23" s="5" t="s">
        <v>249</v>
      </c>
      <c r="HX23" s="5" t="s">
        <v>160</v>
      </c>
      <c r="HY23" s="5" t="s">
        <v>161</v>
      </c>
      <c r="HZ23" s="5" t="s">
        <v>53</v>
      </c>
      <c r="IA23" s="5" t="s">
        <v>55</v>
      </c>
      <c r="IB23" s="5" t="s">
        <v>54</v>
      </c>
      <c r="IC23" s="5" t="s">
        <v>162</v>
      </c>
      <c r="ID23" s="5" t="s">
        <v>250</v>
      </c>
      <c r="IE23" s="5" t="s">
        <v>163</v>
      </c>
      <c r="IF23" s="5" t="s">
        <v>164</v>
      </c>
      <c r="IG23" s="5" t="s">
        <v>53</v>
      </c>
      <c r="IH23" s="5" t="s">
        <v>55</v>
      </c>
      <c r="II23" s="5" t="s">
        <v>54</v>
      </c>
      <c r="IJ23" s="5" t="s">
        <v>165</v>
      </c>
      <c r="IK23" s="5" t="s">
        <v>251</v>
      </c>
      <c r="IL23" s="5" t="s">
        <v>166</v>
      </c>
      <c r="IM23" s="5" t="s">
        <v>167</v>
      </c>
      <c r="IN23" s="5" t="s">
        <v>53</v>
      </c>
      <c r="IO23" s="5" t="s">
        <v>55</v>
      </c>
      <c r="IP23" s="5" t="s">
        <v>54</v>
      </c>
      <c r="IQ23" s="5" t="s">
        <v>168</v>
      </c>
      <c r="IR23" s="5" t="s">
        <v>252</v>
      </c>
      <c r="IS23" s="5" t="s">
        <v>169</v>
      </c>
      <c r="IT23" s="5" t="s">
        <v>170</v>
      </c>
      <c r="IU23" s="5" t="s">
        <v>53</v>
      </c>
      <c r="IV23" s="5" t="s">
        <v>55</v>
      </c>
      <c r="IW23" s="5" t="s">
        <v>54</v>
      </c>
      <c r="IX23" s="5" t="s">
        <v>171</v>
      </c>
      <c r="IY23" s="5" t="s">
        <v>253</v>
      </c>
      <c r="IZ23" s="5" t="s">
        <v>172</v>
      </c>
      <c r="JA23" s="5" t="s">
        <v>173</v>
      </c>
      <c r="JB23" s="5" t="s">
        <v>53</v>
      </c>
      <c r="JC23" s="5" t="s">
        <v>55</v>
      </c>
      <c r="JD23" s="5" t="s">
        <v>54</v>
      </c>
      <c r="JE23" s="5" t="s">
        <v>174</v>
      </c>
      <c r="JF23" s="5" t="s">
        <v>254</v>
      </c>
      <c r="JG23" s="5" t="s">
        <v>175</v>
      </c>
      <c r="JH23" s="5" t="s">
        <v>176</v>
      </c>
      <c r="JI23" s="5" t="s">
        <v>53</v>
      </c>
      <c r="JJ23" s="5" t="s">
        <v>55</v>
      </c>
      <c r="JK23" s="5" t="s">
        <v>54</v>
      </c>
      <c r="JL23" s="5" t="s">
        <v>177</v>
      </c>
      <c r="JM23" s="5" t="s">
        <v>255</v>
      </c>
      <c r="JN23" s="5" t="s">
        <v>178</v>
      </c>
      <c r="JO23" s="5" t="s">
        <v>179</v>
      </c>
      <c r="JP23" s="5" t="s">
        <v>53</v>
      </c>
      <c r="JQ23" s="5" t="s">
        <v>55</v>
      </c>
      <c r="JR23" s="5" t="s">
        <v>54</v>
      </c>
      <c r="JS23" s="5" t="s">
        <v>180</v>
      </c>
      <c r="JT23" s="5" t="s">
        <v>256</v>
      </c>
      <c r="JU23" s="5" t="s">
        <v>181</v>
      </c>
      <c r="JV23" s="5" t="s">
        <v>182</v>
      </c>
      <c r="JW23" s="5" t="s">
        <v>53</v>
      </c>
      <c r="JX23" s="5" t="s">
        <v>55</v>
      </c>
      <c r="JY23" s="5" t="s">
        <v>54</v>
      </c>
      <c r="JZ23" s="5" t="s">
        <v>183</v>
      </c>
      <c r="KA23" s="5" t="s">
        <v>257</v>
      </c>
      <c r="KB23" s="5" t="s">
        <v>184</v>
      </c>
      <c r="KC23" s="5" t="s">
        <v>185</v>
      </c>
      <c r="KD23" s="5" t="s">
        <v>53</v>
      </c>
      <c r="KE23" s="5" t="s">
        <v>55</v>
      </c>
      <c r="KF23" s="5" t="s">
        <v>54</v>
      </c>
      <c r="KG23" s="5" t="s">
        <v>186</v>
      </c>
      <c r="KH23" s="5" t="s">
        <v>258</v>
      </c>
      <c r="KI23" s="5" t="s">
        <v>187</v>
      </c>
      <c r="KJ23" s="5" t="s">
        <v>188</v>
      </c>
      <c r="KK23" s="5" t="s">
        <v>53</v>
      </c>
      <c r="KL23" s="5" t="s">
        <v>55</v>
      </c>
      <c r="KM23" s="5" t="s">
        <v>54</v>
      </c>
      <c r="KN23" s="5" t="s">
        <v>189</v>
      </c>
      <c r="KO23" s="5" t="s">
        <v>259</v>
      </c>
      <c r="KP23" s="5" t="s">
        <v>190</v>
      </c>
      <c r="KQ23" s="5" t="s">
        <v>191</v>
      </c>
      <c r="KR23" s="5" t="s">
        <v>53</v>
      </c>
      <c r="KS23" s="5" t="s">
        <v>55</v>
      </c>
      <c r="KT23" s="5" t="s">
        <v>54</v>
      </c>
      <c r="KU23" s="5" t="s">
        <v>192</v>
      </c>
      <c r="KV23" s="5" t="s">
        <v>260</v>
      </c>
      <c r="KW23" s="5" t="s">
        <v>193</v>
      </c>
      <c r="KX23" s="5" t="s">
        <v>194</v>
      </c>
      <c r="KY23" s="5" t="s">
        <v>53</v>
      </c>
      <c r="KZ23" s="5" t="s">
        <v>55</v>
      </c>
      <c r="LA23" s="5" t="s">
        <v>54</v>
      </c>
      <c r="LB23" s="5" t="s">
        <v>195</v>
      </c>
      <c r="LC23" s="5" t="s">
        <v>261</v>
      </c>
      <c r="LD23" s="5" t="s">
        <v>196</v>
      </c>
      <c r="LE23" s="5" t="s">
        <v>197</v>
      </c>
      <c r="LF23" s="5" t="s">
        <v>53</v>
      </c>
      <c r="LG23" s="5" t="s">
        <v>55</v>
      </c>
      <c r="LH23" s="5" t="s">
        <v>54</v>
      </c>
      <c r="LI23" s="5" t="s">
        <v>198</v>
      </c>
      <c r="LJ23" s="5" t="s">
        <v>262</v>
      </c>
      <c r="LK23" s="5" t="s">
        <v>199</v>
      </c>
      <c r="LL23" s="5" t="s">
        <v>200</v>
      </c>
      <c r="LM23" s="5" t="s">
        <v>53</v>
      </c>
      <c r="LN23" s="5" t="s">
        <v>55</v>
      </c>
      <c r="LO23" s="5" t="s">
        <v>54</v>
      </c>
      <c r="LP23" s="5" t="s">
        <v>201</v>
      </c>
      <c r="LQ23" s="5" t="s">
        <v>263</v>
      </c>
      <c r="LR23" s="5" t="s">
        <v>202</v>
      </c>
      <c r="LS23" s="5" t="s">
        <v>203</v>
      </c>
      <c r="LT23" s="5" t="s">
        <v>53</v>
      </c>
      <c r="LU23" s="5" t="s">
        <v>55</v>
      </c>
      <c r="LV23" s="5" t="s">
        <v>54</v>
      </c>
      <c r="LW23" s="5" t="s">
        <v>204</v>
      </c>
      <c r="LX23" s="5" t="s">
        <v>264</v>
      </c>
      <c r="LY23" s="5" t="s">
        <v>205</v>
      </c>
      <c r="LZ23" s="5" t="s">
        <v>206</v>
      </c>
      <c r="MA23" s="5" t="s">
        <v>53</v>
      </c>
      <c r="MB23" s="5" t="s">
        <v>55</v>
      </c>
      <c r="MC23" s="5" t="s">
        <v>54</v>
      </c>
      <c r="MD23" s="5" t="s">
        <v>207</v>
      </c>
      <c r="ME23" s="5" t="s">
        <v>265</v>
      </c>
      <c r="MF23" s="5" t="s">
        <v>208</v>
      </c>
      <c r="MG23" s="5" t="s">
        <v>209</v>
      </c>
      <c r="MH23" s="5" t="s">
        <v>53</v>
      </c>
      <c r="MI23" s="5" t="s">
        <v>55</v>
      </c>
      <c r="MJ23" s="5" t="s">
        <v>54</v>
      </c>
      <c r="MK23" s="5" t="s">
        <v>210</v>
      </c>
      <c r="ML23" s="5" t="s">
        <v>266</v>
      </c>
      <c r="MM23" s="5" t="s">
        <v>211</v>
      </c>
      <c r="MN23" s="5" t="s">
        <v>212</v>
      </c>
      <c r="MO23" s="5" t="s">
        <v>53</v>
      </c>
      <c r="MP23" s="5" t="s">
        <v>55</v>
      </c>
      <c r="MQ23" s="5" t="s">
        <v>54</v>
      </c>
      <c r="MR23" s="5" t="s">
        <v>213</v>
      </c>
      <c r="MS23" s="5" t="s">
        <v>267</v>
      </c>
      <c r="MT23" s="5" t="s">
        <v>214</v>
      </c>
      <c r="MU23" s="5" t="s">
        <v>215</v>
      </c>
      <c r="MV23" s="5" t="s">
        <v>53</v>
      </c>
      <c r="MW23" s="5" t="s">
        <v>55</v>
      </c>
      <c r="MX23" s="5" t="s">
        <v>54</v>
      </c>
      <c r="MY23" s="5" t="s">
        <v>216</v>
      </c>
      <c r="MZ23" s="5" t="s">
        <v>268</v>
      </c>
      <c r="NC23" s="5" t="s">
        <v>153</v>
      </c>
      <c r="ND23" s="5" t="s">
        <v>154</v>
      </c>
      <c r="NE23" s="5" t="s">
        <v>155</v>
      </c>
      <c r="NF23" s="5" t="s">
        <v>156</v>
      </c>
      <c r="NH23" s="5" t="s">
        <v>217</v>
      </c>
      <c r="NI23" s="5" t="s">
        <v>218</v>
      </c>
      <c r="NJ23" s="5"/>
    </row>
    <row r="24" spans="1:374" x14ac:dyDescent="0.25">
      <c r="A24" s="1">
        <f>'CCRC F'!A24</f>
        <v>62</v>
      </c>
      <c r="B24" s="3">
        <f>'CCRC F'!B24</f>
        <v>1.35E-2</v>
      </c>
      <c r="D24">
        <v>10000</v>
      </c>
      <c r="E24">
        <f>D24*B24</f>
        <v>135</v>
      </c>
      <c r="F24">
        <f t="shared" ref="F24:F70" si="0">F25+D24</f>
        <v>214737.97750779919</v>
      </c>
      <c r="G24">
        <f>F24/D24</f>
        <v>21.473797750779919</v>
      </c>
      <c r="I24">
        <f>D24*($C$20^A24)</f>
        <v>1599.8971629410639</v>
      </c>
      <c r="J24">
        <f t="shared" ref="J24:J70" si="1">J25+I24</f>
        <v>24458.880559085384</v>
      </c>
      <c r="K24" s="18">
        <f>J24/I24</f>
        <v>15.287782943575596</v>
      </c>
    </row>
    <row r="25" spans="1:374" x14ac:dyDescent="0.25">
      <c r="A25" s="1">
        <f>'CCRC F'!A25</f>
        <v>63</v>
      </c>
      <c r="B25" s="3">
        <f>'CCRC F'!B25</f>
        <v>1.46E-2</v>
      </c>
      <c r="D25">
        <f>D24-E24</f>
        <v>9865</v>
      </c>
      <c r="E25">
        <f>D25*B25</f>
        <v>144.029</v>
      </c>
      <c r="F25">
        <f t="shared" si="0"/>
        <v>204737.97750779919</v>
      </c>
      <c r="G25">
        <f t="shared" ref="G25:G72" si="2">F25/D25</f>
        <v>20.753976432620295</v>
      </c>
      <c r="I25">
        <f t="shared" ref="I25:I72" si="3">D25*($C$20^A25)</f>
        <v>1532.3286905255918</v>
      </c>
      <c r="J25">
        <f t="shared" si="1"/>
        <v>22858.983396144322</v>
      </c>
      <c r="K25" s="18">
        <f t="shared" ref="K25:K72" si="4">J25/I25</f>
        <v>14.917806824006959</v>
      </c>
    </row>
    <row r="26" spans="1:374" x14ac:dyDescent="0.25">
      <c r="A26" s="1">
        <f>'CCRC F'!A26</f>
        <v>64</v>
      </c>
      <c r="B26" s="3">
        <f>'CCRC F'!B26</f>
        <v>1.5699999999999999E-2</v>
      </c>
      <c r="D26">
        <f t="shared" ref="D26:D72" si="5">D25-E25</f>
        <v>9720.9709999999995</v>
      </c>
      <c r="E26">
        <f t="shared" ref="E26:E72" si="6">D26*B26</f>
        <v>152.61924469999997</v>
      </c>
      <c r="F26">
        <f t="shared" si="0"/>
        <v>194872.97750779919</v>
      </c>
      <c r="G26">
        <f t="shared" si="2"/>
        <v>20.046657634077832</v>
      </c>
      <c r="I26">
        <f t="shared" si="3"/>
        <v>1465.9773705280757</v>
      </c>
      <c r="J26">
        <f t="shared" si="1"/>
        <v>21326.65470561873</v>
      </c>
      <c r="K26" s="18">
        <f t="shared" si="4"/>
        <v>14.547738003579431</v>
      </c>
    </row>
    <row r="27" spans="1:374" x14ac:dyDescent="0.25">
      <c r="A27" s="1">
        <f>'CCRC F'!A27</f>
        <v>65</v>
      </c>
      <c r="B27" s="3">
        <f>'CCRC F'!B27</f>
        <v>1.6899999999999998E-2</v>
      </c>
      <c r="D27">
        <f t="shared" si="5"/>
        <v>9568.3517553000001</v>
      </c>
      <c r="E27">
        <f t="shared" si="6"/>
        <v>161.70514466456999</v>
      </c>
      <c r="F27">
        <f t="shared" si="0"/>
        <v>185152.0065077992</v>
      </c>
      <c r="G27">
        <f t="shared" si="2"/>
        <v>19.350459853782212</v>
      </c>
      <c r="I27">
        <f t="shared" si="3"/>
        <v>1400.9335202046457</v>
      </c>
      <c r="J27">
        <f t="shared" si="1"/>
        <v>19860.677335090655</v>
      </c>
      <c r="K27" s="18">
        <f t="shared" si="4"/>
        <v>14.176745040827809</v>
      </c>
    </row>
    <row r="28" spans="1:374" x14ac:dyDescent="0.25">
      <c r="A28" s="1">
        <f>'CCRC F'!A28</f>
        <v>66</v>
      </c>
      <c r="B28" s="3">
        <f>'CCRC F'!B28</f>
        <v>1.8200000000000001E-2</v>
      </c>
      <c r="D28">
        <f t="shared" si="5"/>
        <v>9406.646610635431</v>
      </c>
      <c r="E28">
        <f t="shared" si="6"/>
        <v>171.20096831356486</v>
      </c>
      <c r="F28">
        <f t="shared" si="0"/>
        <v>175583.65475249919</v>
      </c>
      <c r="G28">
        <f t="shared" si="2"/>
        <v>18.665913796950676</v>
      </c>
      <c r="I28">
        <f t="shared" si="3"/>
        <v>1337.1434404982399</v>
      </c>
      <c r="J28">
        <f t="shared" si="1"/>
        <v>18459.743814886009</v>
      </c>
      <c r="K28" s="18">
        <f t="shared" si="4"/>
        <v>13.805357941259937</v>
      </c>
    </row>
    <row r="29" spans="1:374" x14ac:dyDescent="0.25">
      <c r="A29" s="1">
        <f>'CCRC F'!A29</f>
        <v>67</v>
      </c>
      <c r="B29" s="3">
        <f>'CCRC F'!B29</f>
        <v>1.9599999999999999E-2</v>
      </c>
      <c r="D29">
        <f t="shared" si="5"/>
        <v>9235.4456423218653</v>
      </c>
      <c r="E29">
        <f t="shared" si="6"/>
        <v>181.01473458950855</v>
      </c>
      <c r="F29">
        <f t="shared" si="0"/>
        <v>166177.00814186377</v>
      </c>
      <c r="G29">
        <f t="shared" si="2"/>
        <v>17.993393559737907</v>
      </c>
      <c r="I29">
        <f t="shared" si="3"/>
        <v>1274.5703202729824</v>
      </c>
      <c r="J29">
        <f t="shared" si="1"/>
        <v>17122.60037438777</v>
      </c>
      <c r="K29" s="18">
        <f t="shared" si="4"/>
        <v>13.434017803521833</v>
      </c>
    </row>
    <row r="30" spans="1:374" x14ac:dyDescent="0.25">
      <c r="A30" s="1">
        <f>'CCRC F'!A30</f>
        <v>68</v>
      </c>
      <c r="B30" s="3">
        <f>'CCRC F'!B30</f>
        <v>2.1000000000000001E-2</v>
      </c>
      <c r="D30">
        <f t="shared" si="5"/>
        <v>9054.430907732356</v>
      </c>
      <c r="E30">
        <f t="shared" si="6"/>
        <v>190.14304906237948</v>
      </c>
      <c r="F30">
        <f t="shared" si="0"/>
        <v>156941.56249954191</v>
      </c>
      <c r="G30">
        <f t="shared" si="2"/>
        <v>17.333122765950538</v>
      </c>
      <c r="I30">
        <f t="shared" si="3"/>
        <v>1213.1929533938171</v>
      </c>
      <c r="J30">
        <f t="shared" si="1"/>
        <v>15848.030054114788</v>
      </c>
      <c r="K30" s="18">
        <f t="shared" si="4"/>
        <v>13.063074599783244</v>
      </c>
    </row>
    <row r="31" spans="1:374" x14ac:dyDescent="0.25">
      <c r="A31" s="1">
        <f>'CCRC F'!A31</f>
        <v>69</v>
      </c>
      <c r="B31" s="3">
        <f>'CCRC F'!B31</f>
        <v>2.3099999999999999E-2</v>
      </c>
      <c r="D31">
        <f t="shared" si="5"/>
        <v>8864.2878586699771</v>
      </c>
      <c r="E31">
        <f t="shared" si="6"/>
        <v>204.76504953527646</v>
      </c>
      <c r="F31">
        <f t="shared" si="0"/>
        <v>147887.13159180954</v>
      </c>
      <c r="G31">
        <f t="shared" si="2"/>
        <v>16.683475756844267</v>
      </c>
      <c r="I31">
        <f t="shared" si="3"/>
        <v>1153.1222343422789</v>
      </c>
      <c r="J31">
        <f t="shared" si="1"/>
        <v>14634.837100720972</v>
      </c>
      <c r="K31" s="18">
        <f t="shared" si="4"/>
        <v>12.691488087616687</v>
      </c>
    </row>
    <row r="32" spans="1:374" x14ac:dyDescent="0.25">
      <c r="A32" s="1">
        <f>'CCRC F'!A32</f>
        <v>70</v>
      </c>
      <c r="B32" s="3">
        <f>'CCRC F'!B32</f>
        <v>2.6700000000000002E-2</v>
      </c>
      <c r="D32">
        <f t="shared" si="5"/>
        <v>8659.5228091346999</v>
      </c>
      <c r="E32">
        <f t="shared" si="6"/>
        <v>231.20925900389651</v>
      </c>
      <c r="F32">
        <f t="shared" si="0"/>
        <v>139022.84373313957</v>
      </c>
      <c r="G32">
        <f t="shared" si="2"/>
        <v>16.054330798284646</v>
      </c>
      <c r="I32">
        <f t="shared" si="3"/>
        <v>1093.6748647854097</v>
      </c>
      <c r="J32">
        <f t="shared" si="1"/>
        <v>13481.714866378692</v>
      </c>
      <c r="K32" s="18">
        <f t="shared" si="4"/>
        <v>12.326986109371678</v>
      </c>
    </row>
    <row r="33" spans="1:373" x14ac:dyDescent="0.25">
      <c r="A33" s="1">
        <f>'CCRC F'!A33</f>
        <v>71</v>
      </c>
      <c r="B33" s="3">
        <f>'CCRC F'!B33</f>
        <v>2.7E-2</v>
      </c>
      <c r="D33">
        <f t="shared" si="5"/>
        <v>8428.3135501308025</v>
      </c>
      <c r="E33">
        <f t="shared" si="6"/>
        <v>227.56446585353166</v>
      </c>
      <c r="F33">
        <f t="shared" si="0"/>
        <v>130363.32092400487</v>
      </c>
      <c r="G33">
        <f t="shared" si="2"/>
        <v>15.467307919741751</v>
      </c>
      <c r="I33">
        <f t="shared" si="3"/>
        <v>1033.4696562093586</v>
      </c>
      <c r="J33">
        <f t="shared" si="1"/>
        <v>12388.040001593283</v>
      </c>
      <c r="K33" s="18">
        <f t="shared" si="4"/>
        <v>11.986844439178903</v>
      </c>
    </row>
    <row r="34" spans="1:373" x14ac:dyDescent="0.25">
      <c r="A34" s="1">
        <f>'CCRC F'!A34</f>
        <v>72</v>
      </c>
      <c r="B34" s="3">
        <f>'CCRC F'!B34</f>
        <v>2.76E-2</v>
      </c>
      <c r="D34">
        <f t="shared" si="5"/>
        <v>8200.7490842772713</v>
      </c>
      <c r="E34">
        <f t="shared" si="6"/>
        <v>226.3406747260527</v>
      </c>
      <c r="F34">
        <f t="shared" si="0"/>
        <v>121935.00737387408</v>
      </c>
      <c r="G34">
        <f t="shared" si="2"/>
        <v>14.868764562941163</v>
      </c>
      <c r="I34">
        <f t="shared" si="3"/>
        <v>976.27764610845225</v>
      </c>
      <c r="J34">
        <f t="shared" si="1"/>
        <v>11354.570345383923</v>
      </c>
      <c r="K34" s="18">
        <f t="shared" si="4"/>
        <v>11.630472530682704</v>
      </c>
    </row>
    <row r="35" spans="1:373" x14ac:dyDescent="0.25">
      <c r="A35" s="1">
        <f>'CCRC F'!A35</f>
        <v>73</v>
      </c>
      <c r="B35" s="3">
        <f>'CCRC F'!B35</f>
        <v>3.1199999999999999E-2</v>
      </c>
      <c r="D35">
        <f t="shared" si="5"/>
        <v>7974.4084095512189</v>
      </c>
      <c r="E35">
        <f t="shared" si="6"/>
        <v>248.80154237799803</v>
      </c>
      <c r="F35">
        <f t="shared" si="0"/>
        <v>113734.25828959681</v>
      </c>
      <c r="G35">
        <f t="shared" si="2"/>
        <v>14.262406996031634</v>
      </c>
      <c r="I35">
        <f t="shared" si="3"/>
        <v>921.68192531636794</v>
      </c>
      <c r="J35">
        <f t="shared" si="1"/>
        <v>10378.292699275471</v>
      </c>
      <c r="K35" s="18">
        <f t="shared" si="4"/>
        <v>11.260167324766746</v>
      </c>
    </row>
    <row r="36" spans="1:373" x14ac:dyDescent="0.25">
      <c r="A36" s="1">
        <f>'CCRC F'!A36</f>
        <v>74</v>
      </c>
      <c r="B36" s="3">
        <f>'CCRC F'!B36</f>
        <v>3.1899999999999998E-2</v>
      </c>
      <c r="D36">
        <f t="shared" si="5"/>
        <v>7725.606867173221</v>
      </c>
      <c r="E36">
        <f t="shared" si="6"/>
        <v>246.44685906282572</v>
      </c>
      <c r="F36">
        <f t="shared" si="0"/>
        <v>105759.84988004559</v>
      </c>
      <c r="G36">
        <f t="shared" si="2"/>
        <v>13.689520020676749</v>
      </c>
      <c r="I36">
        <f t="shared" si="3"/>
        <v>866.91791188980324</v>
      </c>
      <c r="J36">
        <f t="shared" si="1"/>
        <v>9456.6107739591025</v>
      </c>
      <c r="K36" s="18">
        <f t="shared" si="4"/>
        <v>10.908311668569104</v>
      </c>
    </row>
    <row r="37" spans="1:373" x14ac:dyDescent="0.25">
      <c r="A37" s="1">
        <f>'CCRC F'!A37</f>
        <v>75</v>
      </c>
      <c r="B37" s="3">
        <f>'CCRC F'!B37</f>
        <v>3.2199999999999999E-2</v>
      </c>
      <c r="D37">
        <f t="shared" si="5"/>
        <v>7479.1600081103952</v>
      </c>
      <c r="E37">
        <f t="shared" si="6"/>
        <v>240.82895226115471</v>
      </c>
      <c r="F37">
        <f t="shared" si="0"/>
        <v>98034.243012872364</v>
      </c>
      <c r="G37">
        <f t="shared" si="2"/>
        <v>13.107654189315927</v>
      </c>
      <c r="I37">
        <f t="shared" si="3"/>
        <v>814.81867038885287</v>
      </c>
      <c r="J37">
        <f t="shared" si="1"/>
        <v>8589.6928620692997</v>
      </c>
      <c r="K37" s="18">
        <f t="shared" si="4"/>
        <v>10.541845902929634</v>
      </c>
    </row>
    <row r="38" spans="1:373" x14ac:dyDescent="0.25">
      <c r="A38" s="1">
        <f>'CCRC F'!A38</f>
        <v>76</v>
      </c>
      <c r="B38" s="3">
        <f>'CCRC F'!B38</f>
        <v>3.2199999999999999E-2</v>
      </c>
      <c r="D38">
        <f t="shared" si="5"/>
        <v>7238.3310558492403</v>
      </c>
      <c r="E38">
        <f t="shared" si="6"/>
        <v>233.07425999834552</v>
      </c>
      <c r="F38">
        <f t="shared" si="0"/>
        <v>90555.083004761967</v>
      </c>
      <c r="G38">
        <f t="shared" si="2"/>
        <v>12.510492032771158</v>
      </c>
      <c r="I38">
        <f t="shared" si="3"/>
        <v>765.61311573041928</v>
      </c>
      <c r="J38">
        <f t="shared" si="1"/>
        <v>7774.8741916804465</v>
      </c>
      <c r="K38" s="18">
        <f t="shared" si="4"/>
        <v>10.155095350297087</v>
      </c>
    </row>
    <row r="39" spans="1:373" x14ac:dyDescent="0.25">
      <c r="A39" s="1">
        <f>'CCRC F'!A39</f>
        <v>77</v>
      </c>
      <c r="B39" s="3">
        <f>'CCRC F'!B39</f>
        <v>3.4099999999999998E-2</v>
      </c>
      <c r="D39">
        <f t="shared" si="5"/>
        <v>7005.2567958508944</v>
      </c>
      <c r="E39">
        <f t="shared" si="6"/>
        <v>238.87925673851549</v>
      </c>
      <c r="F39">
        <f t="shared" si="0"/>
        <v>83316.75194891273</v>
      </c>
      <c r="G39">
        <f t="shared" si="2"/>
        <v>11.893461492840627</v>
      </c>
      <c r="I39">
        <f t="shared" si="3"/>
        <v>719.37900330475702</v>
      </c>
      <c r="J39">
        <f t="shared" si="1"/>
        <v>7009.2610759500276</v>
      </c>
      <c r="K39" s="18">
        <f t="shared" si="4"/>
        <v>9.7434885418536901</v>
      </c>
    </row>
    <row r="40" spans="1:373" x14ac:dyDescent="0.25">
      <c r="A40" s="1">
        <f>'CCRC F'!A40</f>
        <v>78</v>
      </c>
      <c r="B40" s="3">
        <f>'CCRC F'!B40</f>
        <v>3.7900000000000003E-2</v>
      </c>
      <c r="D40">
        <f t="shared" si="5"/>
        <v>6766.3775391123791</v>
      </c>
      <c r="E40">
        <f t="shared" si="6"/>
        <v>256.44570873235921</v>
      </c>
      <c r="F40">
        <f t="shared" si="0"/>
        <v>76311.495153061842</v>
      </c>
      <c r="G40">
        <f t="shared" si="2"/>
        <v>11.278042750637363</v>
      </c>
      <c r="I40">
        <f t="shared" si="3"/>
        <v>674.60988280782988</v>
      </c>
      <c r="J40">
        <f t="shared" si="1"/>
        <v>6289.8820726452705</v>
      </c>
      <c r="K40" s="18">
        <f t="shared" si="4"/>
        <v>9.3237324755246931</v>
      </c>
      <c r="W40" s="8">
        <f>$V$48*$B$21*$K$47</f>
        <v>4532121.2793829152</v>
      </c>
    </row>
    <row r="41" spans="1:373" x14ac:dyDescent="0.25">
      <c r="A41" s="1">
        <f>'CCRC F'!A41</f>
        <v>79</v>
      </c>
      <c r="B41" s="3">
        <f>'CCRC F'!B41</f>
        <v>4.3099999999999999E-2</v>
      </c>
      <c r="D41">
        <f t="shared" si="5"/>
        <v>6509.9318303800201</v>
      </c>
      <c r="E41">
        <f t="shared" si="6"/>
        <v>280.57806188937889</v>
      </c>
      <c r="F41">
        <f t="shared" si="0"/>
        <v>69545.117613949464</v>
      </c>
      <c r="G41">
        <f t="shared" si="2"/>
        <v>10.682925632093713</v>
      </c>
      <c r="I41">
        <f t="shared" si="3"/>
        <v>630.13802742661483</v>
      </c>
      <c r="J41">
        <f t="shared" si="1"/>
        <v>5615.2721898374402</v>
      </c>
      <c r="K41" s="18">
        <f t="shared" si="4"/>
        <v>8.9111780997717815</v>
      </c>
    </row>
    <row r="42" spans="1:373" x14ac:dyDescent="0.25">
      <c r="A42" s="1">
        <f>'CCRC F'!A42</f>
        <v>80</v>
      </c>
      <c r="B42" s="3">
        <f>'CCRC F'!B42</f>
        <v>4.6100000000000002E-2</v>
      </c>
      <c r="D42">
        <f t="shared" si="5"/>
        <v>6229.3537684906414</v>
      </c>
      <c r="E42">
        <f t="shared" si="6"/>
        <v>287.17320872741857</v>
      </c>
      <c r="F42">
        <f t="shared" si="0"/>
        <v>63035.185783569446</v>
      </c>
      <c r="G42">
        <f t="shared" si="2"/>
        <v>10.119056988288969</v>
      </c>
      <c r="I42">
        <f t="shared" si="3"/>
        <v>585.41658101410451</v>
      </c>
      <c r="J42">
        <f t="shared" si="1"/>
        <v>4985.1341624108254</v>
      </c>
      <c r="K42" s="18">
        <f t="shared" si="4"/>
        <v>8.5155329112393527</v>
      </c>
    </row>
    <row r="43" spans="1:373" x14ac:dyDescent="0.25">
      <c r="A43" s="1">
        <f>'CCRC F'!A43</f>
        <v>81</v>
      </c>
      <c r="B43" s="3">
        <f>'CCRC F'!B43</f>
        <v>4.9000000000000002E-2</v>
      </c>
      <c r="D43">
        <f t="shared" si="5"/>
        <v>5942.1805597632228</v>
      </c>
      <c r="E43">
        <f t="shared" si="6"/>
        <v>291.16684742839794</v>
      </c>
      <c r="F43">
        <f t="shared" si="0"/>
        <v>56805.832015078806</v>
      </c>
      <c r="G43">
        <f t="shared" si="2"/>
        <v>9.5597620172858466</v>
      </c>
      <c r="I43">
        <f t="shared" si="3"/>
        <v>542.16395789257695</v>
      </c>
      <c r="J43">
        <f t="shared" si="1"/>
        <v>4399.7175813967206</v>
      </c>
      <c r="K43" s="18">
        <f t="shared" si="4"/>
        <v>8.1151052506306041</v>
      </c>
    </row>
    <row r="44" spans="1:373" x14ac:dyDescent="0.25">
      <c r="A44" s="1">
        <f>'CCRC F'!A44</f>
        <v>82</v>
      </c>
      <c r="B44" s="3">
        <f>'CCRC F'!B44</f>
        <v>5.3400000000000003E-2</v>
      </c>
      <c r="D44">
        <f t="shared" si="5"/>
        <v>5651.013712334825</v>
      </c>
      <c r="E44">
        <f t="shared" si="6"/>
        <v>301.76413223867968</v>
      </c>
      <c r="F44">
        <f t="shared" si="0"/>
        <v>50863.651455315579</v>
      </c>
      <c r="G44">
        <f t="shared" si="2"/>
        <v>9.0008012800061472</v>
      </c>
      <c r="I44">
        <f t="shared" si="3"/>
        <v>500.5805086949909</v>
      </c>
      <c r="J44">
        <f t="shared" si="1"/>
        <v>3857.5536235041432</v>
      </c>
      <c r="K44" s="18">
        <f t="shared" si="4"/>
        <v>7.7061602609353539</v>
      </c>
    </row>
    <row r="45" spans="1:373" ht="30" x14ac:dyDescent="0.25">
      <c r="A45" s="1">
        <f>'CCRC F'!A45</f>
        <v>83</v>
      </c>
      <c r="B45" s="3">
        <f>'CCRC F'!B45</f>
        <v>6.1199999999999997E-2</v>
      </c>
      <c r="D45">
        <f t="shared" si="5"/>
        <v>5349.2495800961451</v>
      </c>
      <c r="E45">
        <f t="shared" si="6"/>
        <v>327.37407430188409</v>
      </c>
      <c r="F45">
        <f t="shared" si="0"/>
        <v>45212.637742980754</v>
      </c>
      <c r="G45">
        <f t="shared" si="2"/>
        <v>8.4521458694339184</v>
      </c>
      <c r="I45">
        <f t="shared" si="3"/>
        <v>460.04806750551302</v>
      </c>
      <c r="J45">
        <f t="shared" si="1"/>
        <v>3356.9731148091523</v>
      </c>
      <c r="K45" s="18">
        <f t="shared" si="4"/>
        <v>7.2970051434221572</v>
      </c>
      <c r="W45" s="12" t="s">
        <v>121</v>
      </c>
      <c r="AD45" s="12" t="s">
        <v>121</v>
      </c>
      <c r="AK45" s="12" t="s">
        <v>121</v>
      </c>
      <c r="AR45" s="12" t="s">
        <v>121</v>
      </c>
      <c r="AY45" s="12" t="s">
        <v>121</v>
      </c>
      <c r="BF45" s="12" t="s">
        <v>121</v>
      </c>
      <c r="BM45" s="12" t="s">
        <v>121</v>
      </c>
      <c r="BT45" s="12" t="s">
        <v>121</v>
      </c>
      <c r="CA45" s="12" t="s">
        <v>121</v>
      </c>
      <c r="CH45" s="12" t="s">
        <v>121</v>
      </c>
      <c r="CO45" s="12" t="s">
        <v>121</v>
      </c>
      <c r="CV45" s="12" t="s">
        <v>121</v>
      </c>
      <c r="DC45" s="12" t="s">
        <v>121</v>
      </c>
      <c r="DJ45" s="12" t="s">
        <v>121</v>
      </c>
      <c r="DQ45" s="12" t="s">
        <v>121</v>
      </c>
      <c r="DX45" s="12" t="s">
        <v>121</v>
      </c>
      <c r="EE45" s="12" t="s">
        <v>121</v>
      </c>
      <c r="EL45" s="12" t="s">
        <v>121</v>
      </c>
      <c r="ES45" s="12" t="s">
        <v>121</v>
      </c>
      <c r="EZ45" s="12" t="s">
        <v>121</v>
      </c>
      <c r="FG45" s="12" t="s">
        <v>121</v>
      </c>
      <c r="FN45" s="12" t="s">
        <v>121</v>
      </c>
      <c r="FU45" s="12" t="s">
        <v>121</v>
      </c>
      <c r="GB45" s="12" t="s">
        <v>121</v>
      </c>
      <c r="GI45" s="12" t="s">
        <v>121</v>
      </c>
      <c r="GP45" s="12" t="s">
        <v>121</v>
      </c>
      <c r="GW45" s="12" t="s">
        <v>121</v>
      </c>
      <c r="HD45" s="12" t="s">
        <v>121</v>
      </c>
      <c r="HK45" s="12" t="s">
        <v>121</v>
      </c>
      <c r="HR45" s="12" t="s">
        <v>121</v>
      </c>
      <c r="HY45" s="12" t="s">
        <v>121</v>
      </c>
      <c r="IF45" s="12" t="s">
        <v>121</v>
      </c>
      <c r="IM45" s="12" t="s">
        <v>121</v>
      </c>
      <c r="IT45" s="12" t="s">
        <v>121</v>
      </c>
      <c r="JA45" s="12" t="s">
        <v>121</v>
      </c>
      <c r="JH45" s="12" t="s">
        <v>121</v>
      </c>
      <c r="JO45" s="12" t="s">
        <v>121</v>
      </c>
      <c r="JV45" s="12" t="s">
        <v>121</v>
      </c>
      <c r="KC45" s="12" t="s">
        <v>121</v>
      </c>
      <c r="KJ45" s="12" t="s">
        <v>121</v>
      </c>
      <c r="KQ45" s="12" t="s">
        <v>121</v>
      </c>
      <c r="KX45" s="12" t="s">
        <v>121</v>
      </c>
      <c r="LE45" s="12" t="s">
        <v>121</v>
      </c>
      <c r="LL45" s="12" t="s">
        <v>121</v>
      </c>
      <c r="LS45" s="12" t="s">
        <v>121</v>
      </c>
      <c r="LZ45" s="12" t="s">
        <v>121</v>
      </c>
      <c r="MG45" s="12" t="s">
        <v>121</v>
      </c>
      <c r="MN45" s="12" t="s">
        <v>121</v>
      </c>
      <c r="MU45" s="12" t="s">
        <v>121</v>
      </c>
    </row>
    <row r="46" spans="1:373" x14ac:dyDescent="0.25">
      <c r="A46" s="1">
        <f>'CCRC F'!A46</f>
        <v>84</v>
      </c>
      <c r="B46" s="3">
        <f>'CCRC F'!B46</f>
        <v>6.9400000000000003E-2</v>
      </c>
      <c r="D46">
        <f t="shared" si="5"/>
        <v>5021.8755057942608</v>
      </c>
      <c r="E46">
        <f t="shared" si="6"/>
        <v>348.51816010212173</v>
      </c>
      <c r="F46">
        <f t="shared" si="0"/>
        <v>39863.388162884607</v>
      </c>
      <c r="G46">
        <f t="shared" si="2"/>
        <v>7.9379483057455458</v>
      </c>
      <c r="I46">
        <f t="shared" si="3"/>
        <v>419.31371434385983</v>
      </c>
      <c r="J46">
        <f t="shared" si="1"/>
        <v>2896.9250473036391</v>
      </c>
      <c r="K46" s="18">
        <f t="shared" si="4"/>
        <v>6.9087295459361115</v>
      </c>
      <c r="W46" s="16">
        <f>23.1*$B$21*$K$47</f>
        <v>4532121.2793829106</v>
      </c>
      <c r="X46" s="7"/>
      <c r="Y46" s="7"/>
      <c r="Z46" s="7"/>
      <c r="AD46" s="16">
        <f>21.952254964539*$B$21*$K$47</f>
        <v>4306938.6084513571</v>
      </c>
      <c r="AK46" s="16">
        <f>21.4823457383946*$B$21*$K$47</f>
        <v>4214744.4264951935</v>
      </c>
      <c r="AR46" s="16">
        <f>24.010167028971*$B$21*$K$47</f>
        <v>4710692.1607591966</v>
      </c>
      <c r="AY46" s="16">
        <f>28.2634310511151*$B$21*$K$47</f>
        <v>5545164.3850705819</v>
      </c>
      <c r="BF46" s="16">
        <f>31.6869646340661*$B$21*$K$47</f>
        <v>6216847.0431647059</v>
      </c>
      <c r="BM46" s="16">
        <f>34.5844339319149*$B$21*$K$47</f>
        <v>6785318.1367205158</v>
      </c>
      <c r="BT46" s="16">
        <f>37.3022394158867*$B$21*$K$47</f>
        <v>7318539.957808489</v>
      </c>
      <c r="CA46" s="16">
        <f>39.9504176656005*$B$21*$K$47</f>
        <v>7838101.213095366</v>
      </c>
      <c r="CH46" s="16">
        <f>41.7746428141089*$B$21*$K$47</f>
        <v>8196006.3911880236</v>
      </c>
      <c r="CO46" s="16">
        <f>42.949263111447*$B$21*$K$47</f>
        <v>8426461.8736452144</v>
      </c>
      <c r="CV46" s="16">
        <f>43.7738532938291*$B$21*$K$47</f>
        <v>8588242.9434436616</v>
      </c>
      <c r="DC46" s="16">
        <f>44.3875594538919*$B$21*$K$47</f>
        <v>8708649.469301194</v>
      </c>
      <c r="DJ46" s="16">
        <f>44.8425298296125*$B$21*$K$47</f>
        <v>8797912.7126471754</v>
      </c>
      <c r="DQ46" s="16">
        <f>45.1545057106147*$B$21*$K$47</f>
        <v>8859121.047233507</v>
      </c>
      <c r="DX46" s="16">
        <f>45.4065772963928*$B$21*$K$47</f>
        <v>8908576.4151050542</v>
      </c>
      <c r="EE46" s="16">
        <f>45.5642435874128*$B$21*$K$47</f>
        <v>8939509.8675973956</v>
      </c>
      <c r="EL46" s="16">
        <f>45.6403404679599*$B$21*$K$47</f>
        <v>8954439.7503516041</v>
      </c>
      <c r="ES46" s="16">
        <f>45.6659475929516*$B$21*$K$47</f>
        <v>8959463.7588398606</v>
      </c>
      <c r="EZ46" s="13">
        <f>45.6701598303735*$B$21*$K$47</f>
        <v>8960290.181820536</v>
      </c>
      <c r="FG46" s="13">
        <f>45.671226366907*$B$21*$K$47</f>
        <v>8960499.4317304362</v>
      </c>
      <c r="FN46" s="13">
        <f>45.6742738328373*$B$21*$K$47</f>
        <v>8961097.3315222505</v>
      </c>
      <c r="FU46" s="13">
        <f>45.6787704331977*$B$21*$K$47</f>
        <v>8961979.5452961996</v>
      </c>
      <c r="GB46" s="13">
        <f>45.6820457428738*$B$21*$K$47</f>
        <v>8962622.1470572222</v>
      </c>
      <c r="GI46" s="13">
        <f>45.6793632397417*$B$21*$K$47</f>
        <v>8962095.8514067028</v>
      </c>
      <c r="GP46" s="13">
        <f>45.7266299003828*$B$21*$K$47</f>
        <v>8971369.3682247493</v>
      </c>
      <c r="GW46" s="13">
        <f>45.6532821877386*$B$21*$K$47</f>
        <v>8956978.8604641948</v>
      </c>
      <c r="HD46" s="13">
        <f>45.6708747910176*$B$21*$K$47</f>
        <v>8960430.4540434387</v>
      </c>
      <c r="HK46" s="13">
        <f>45.6792384610052*$B$21*$K$47</f>
        <v>8962071.3703518584</v>
      </c>
      <c r="HR46" s="13">
        <f>45.6825900747024*$B$21*$K$47</f>
        <v>8962728.942635728</v>
      </c>
      <c r="HY46" s="13">
        <f>45.6829460182034*$B$21*$K$47</f>
        <v>8962798.7772294562</v>
      </c>
      <c r="IF46" s="13">
        <f>45.6820245657357*$B$21*$K$47</f>
        <v>8962617.9921932314</v>
      </c>
      <c r="IM46" s="13">
        <f>45.6807977652424*$B$21*$K$47</f>
        <v>8962377.2991793249</v>
      </c>
      <c r="IT46" s="13">
        <f>45.6798393658161*$B$21*$K$47</f>
        <v>8962189.2653077189</v>
      </c>
      <c r="JA46" s="13">
        <f>45.6796033488727*$B$21*$K$47</f>
        <v>8962142.959792072</v>
      </c>
      <c r="JH46" s="13">
        <f>45.6799707400131*$B$21*$K$47</f>
        <v>8962215.0403637271</v>
      </c>
      <c r="JO46" s="13">
        <f>45.6804633766232*$B$21*$K$47</f>
        <v>8962311.6935612876</v>
      </c>
      <c r="JV46" s="13">
        <f>45.6807143711949*$B$21*$K$47</f>
        <v>8962360.9376235995</v>
      </c>
      <c r="KC46" s="13">
        <f>45.6806789905632*$B$21*$K$47</f>
        <v>8962353.9960948639</v>
      </c>
      <c r="KJ46" s="13">
        <f>45.6805100901894*$B$21*$K$47</f>
        <v>8962320.8585633412</v>
      </c>
      <c r="KQ46" s="13">
        <f>45.6803718404715*$B$21*$K$47</f>
        <v>8962293.7345595155</v>
      </c>
      <c r="KX46" s="13">
        <f>45.6803331920571*$B$21*$K$47</f>
        <v>8962286.1519057788</v>
      </c>
      <c r="LE46" s="13">
        <f>45.6803709001621*$B$21*$K$47</f>
        <v>8962293.5500748288</v>
      </c>
      <c r="LL46" s="13">
        <f>45.6804271658062*$B$21*$K$47</f>
        <v>8962304.5891537424</v>
      </c>
      <c r="LS46" s="13">
        <f>45.6804600892775*$B$21*$K$47</f>
        <v>8962311.0485981088</v>
      </c>
      <c r="LZ46" s="13">
        <f>45.6804608904251*$B$21*$K$47</f>
        <v>8962311.2057798468</v>
      </c>
      <c r="MG46" s="13">
        <f>45.680443802426*$B$21*$K$47</f>
        <v>8962307.8531874493</v>
      </c>
      <c r="MN46" s="13">
        <f>45.6804271544887*$B$21*$K$47</f>
        <v>8962304.586933298</v>
      </c>
      <c r="MU46" s="13">
        <f>45.6804206513156*$B$21*$K$47</f>
        <v>8962303.3110385276</v>
      </c>
    </row>
    <row r="47" spans="1:373" x14ac:dyDescent="0.25">
      <c r="A47" s="1">
        <f>'CCRC F'!A47</f>
        <v>85</v>
      </c>
      <c r="B47" s="3">
        <f>'CCRC F'!B47</f>
        <v>7.6999999999999999E-2</v>
      </c>
      <c r="D47">
        <f t="shared" si="5"/>
        <v>4673.3573456921395</v>
      </c>
      <c r="E47">
        <f t="shared" si="6"/>
        <v>359.84851561829475</v>
      </c>
      <c r="F47">
        <f t="shared" si="0"/>
        <v>34841.512657090345</v>
      </c>
      <c r="G47">
        <f t="shared" si="2"/>
        <v>7.4553495655980493</v>
      </c>
      <c r="I47">
        <f t="shared" si="3"/>
        <v>378.84790540620969</v>
      </c>
      <c r="J47">
        <f t="shared" si="1"/>
        <v>2477.6113329597792</v>
      </c>
      <c r="K47" s="18">
        <f t="shared" si="4"/>
        <v>6.5398575460070862</v>
      </c>
      <c r="M47">
        <v>1</v>
      </c>
      <c r="N47" s="9">
        <f>$B$18</f>
        <v>300</v>
      </c>
      <c r="O47" s="6">
        <f>$B$18*$B$21*$K$47</f>
        <v>58858717.914063774</v>
      </c>
      <c r="P47" s="6">
        <f>$B$18*$B$21*$D$47/$D$47</f>
        <v>9000000</v>
      </c>
      <c r="Q47" s="6">
        <f>$O$47/$G$47</f>
        <v>7894830.06748085</v>
      </c>
      <c r="R47" s="6">
        <f>$O$47-$Q$47</f>
        <v>50963887.846582927</v>
      </c>
      <c r="S47" s="6">
        <f>$B$20*$R$47</f>
        <v>1528916.6353974878</v>
      </c>
      <c r="T47" s="6">
        <f t="shared" ref="T47:T72" si="7">Q47+S47</f>
        <v>9423746.7028783374</v>
      </c>
      <c r="U47" s="6">
        <f>P47*(K47-1)</f>
        <v>49858717.914063774</v>
      </c>
      <c r="V47" s="7"/>
      <c r="W47" s="13"/>
      <c r="AD47" s="13"/>
      <c r="AK47" s="13"/>
      <c r="AR47" s="13"/>
      <c r="AY47" s="13"/>
      <c r="BF47" s="13"/>
      <c r="BM47" s="13"/>
      <c r="BT47" s="13"/>
      <c r="CA47" s="13"/>
      <c r="CH47" s="13"/>
      <c r="CO47" s="13"/>
      <c r="CV47" s="13"/>
      <c r="DC47" s="13"/>
      <c r="DJ47" s="13"/>
      <c r="DQ47" s="13"/>
      <c r="DX47" s="13"/>
      <c r="EE47" s="13"/>
      <c r="EL47" s="13"/>
      <c r="ES47" s="13"/>
      <c r="EZ47" s="15"/>
      <c r="FA47" s="14"/>
      <c r="FB47" s="14"/>
      <c r="FD47" s="14"/>
      <c r="FE47" s="15"/>
      <c r="FF47" s="14"/>
      <c r="FG47" s="14"/>
      <c r="HR47" s="15"/>
      <c r="HS47" s="15"/>
      <c r="HT47" s="15"/>
      <c r="HU47" s="14"/>
      <c r="HV47" s="14"/>
      <c r="NC47" s="15">
        <v>1</v>
      </c>
      <c r="ND47" s="15">
        <f>N47</f>
        <v>300</v>
      </c>
      <c r="NE47" s="14">
        <f>P47</f>
        <v>9000000</v>
      </c>
      <c r="NF47" s="14">
        <f>T47</f>
        <v>9423746.7028783374</v>
      </c>
      <c r="NH47" s="14">
        <f>U47</f>
        <v>49858717.914063774</v>
      </c>
      <c r="NI47" s="14">
        <f>R47</f>
        <v>50963887.846582927</v>
      </c>
    </row>
    <row r="48" spans="1:373" x14ac:dyDescent="0.25">
      <c r="A48" s="1">
        <f>'CCRC F'!A48</f>
        <v>86</v>
      </c>
      <c r="B48" s="3">
        <f>'CCRC F'!B48</f>
        <v>8.5500000000000007E-2</v>
      </c>
      <c r="D48">
        <f t="shared" si="5"/>
        <v>4313.5088300738444</v>
      </c>
      <c r="E48">
        <f t="shared" si="6"/>
        <v>368.80500497131374</v>
      </c>
      <c r="F48">
        <f t="shared" si="0"/>
        <v>30168.155311398208</v>
      </c>
      <c r="G48">
        <f t="shared" si="2"/>
        <v>6.9938781859133812</v>
      </c>
      <c r="I48">
        <f t="shared" si="3"/>
        <v>339.49186086401119</v>
      </c>
      <c r="J48">
        <f t="shared" si="1"/>
        <v>2098.7634275535697</v>
      </c>
      <c r="K48" s="18">
        <f t="shared" si="4"/>
        <v>6.182072884493282</v>
      </c>
      <c r="M48">
        <v>2</v>
      </c>
      <c r="N48" s="9">
        <f>$B$18*$D$48/$D$47</f>
        <v>276.89999999999998</v>
      </c>
      <c r="O48" s="6">
        <f>$B$18*$B$21*$K$48</f>
        <v>55638655.96043954</v>
      </c>
      <c r="P48" s="6">
        <f>$B$18*$B$21*$D$48/$D$47</f>
        <v>8306999.9999999991</v>
      </c>
      <c r="Q48" s="6">
        <f>R47/$G$48</f>
        <v>7286928.1522848234</v>
      </c>
      <c r="R48" s="6">
        <f>R47-$Q$48</f>
        <v>43676959.694298103</v>
      </c>
      <c r="S48" s="6">
        <f>$B$20*$R$48</f>
        <v>1310308.790828943</v>
      </c>
      <c r="T48" s="6">
        <f t="shared" si="7"/>
        <v>8597236.9431137666</v>
      </c>
      <c r="U48" s="6">
        <f t="shared" ref="U48:U72" si="8">P48*(K48-1)</f>
        <v>43047479.451485686</v>
      </c>
      <c r="V48" s="11">
        <f>($N47-$N48)</f>
        <v>23.100000000000023</v>
      </c>
      <c r="W48" s="14">
        <f t="shared" ref="W48:W72" si="9">V48*$B$21</f>
        <v>693000.0000000007</v>
      </c>
      <c r="X48" s="14">
        <f>W$46/$G47</f>
        <v>607901.91519602551</v>
      </c>
      <c r="Y48" s="14">
        <f>W$46-X48</f>
        <v>3924219.3641868848</v>
      </c>
      <c r="Z48" s="14">
        <f t="shared" ref="Z48:Z72" si="10">$B$20*Y48</f>
        <v>117726.58092560654</v>
      </c>
      <c r="AA48" s="14">
        <f t="shared" ref="AA48:AA72" si="11">X48+Z48</f>
        <v>725628.49612163205</v>
      </c>
      <c r="AB48" s="14">
        <f>W48*(VLOOKUP(85,$A$24:$K$72,11,FALSE)-1)</f>
        <v>3839121.2793829148</v>
      </c>
      <c r="AC48" s="6"/>
      <c r="EZ48" s="15"/>
      <c r="FA48" s="14"/>
      <c r="FB48" s="14"/>
      <c r="FD48" s="14"/>
      <c r="FE48" s="15"/>
      <c r="FF48" s="14"/>
      <c r="FG48" s="14"/>
      <c r="HR48" s="15"/>
      <c r="HS48" s="15"/>
      <c r="HT48" s="15"/>
      <c r="HU48" s="14"/>
      <c r="HV48" s="14"/>
      <c r="NC48" s="15">
        <v>2</v>
      </c>
      <c r="ND48" s="15">
        <f>N48+V48</f>
        <v>300</v>
      </c>
      <c r="NE48" s="14">
        <f>P48+W48</f>
        <v>9000000</v>
      </c>
      <c r="NF48" s="14">
        <f>T48+AA48</f>
        <v>9322865.4392353985</v>
      </c>
      <c r="NH48" s="14">
        <f>U48+AB48</f>
        <v>46886600.7308686</v>
      </c>
      <c r="NI48" s="14">
        <f>R48+Y48</f>
        <v>47601179.058484986</v>
      </c>
    </row>
    <row r="49" spans="1:373" x14ac:dyDescent="0.25">
      <c r="A49" s="1">
        <f>'CCRC F'!A49</f>
        <v>87</v>
      </c>
      <c r="B49" s="3">
        <f>'CCRC F'!B49</f>
        <v>9.1300000000000006E-2</v>
      </c>
      <c r="D49">
        <f t="shared" si="5"/>
        <v>3944.7038251025306</v>
      </c>
      <c r="E49">
        <f t="shared" si="6"/>
        <v>360.15145923186105</v>
      </c>
      <c r="F49">
        <f t="shared" si="0"/>
        <v>25854.646481324362</v>
      </c>
      <c r="G49">
        <f t="shared" si="2"/>
        <v>6.5542681092546538</v>
      </c>
      <c r="I49">
        <f t="shared" si="3"/>
        <v>301.4226279224643</v>
      </c>
      <c r="J49">
        <f t="shared" si="1"/>
        <v>1759.2715666895585</v>
      </c>
      <c r="K49" s="18">
        <f t="shared" si="4"/>
        <v>5.8365610399432271</v>
      </c>
      <c r="M49">
        <v>3</v>
      </c>
      <c r="N49" s="9">
        <f>$B$18*$D$49/$D$47</f>
        <v>253.22504999999998</v>
      </c>
      <c r="O49" s="6">
        <f>$B$18*$B$21*$K$49</f>
        <v>52529049.359489046</v>
      </c>
      <c r="P49" s="6">
        <f>$B$18*$B$21*$D$49/$D$47</f>
        <v>7596751.4999999991</v>
      </c>
      <c r="Q49" s="6">
        <f>R48/$G$49</f>
        <v>6663895.7952644713</v>
      </c>
      <c r="R49" s="6">
        <f>R48-$Q$49</f>
        <v>37013063.899033636</v>
      </c>
      <c r="S49" s="6">
        <f>$B$20*$R$49</f>
        <v>1110391.916971009</v>
      </c>
      <c r="T49" s="6">
        <f t="shared" si="7"/>
        <v>7774287.7122354805</v>
      </c>
      <c r="U49" s="6">
        <f t="shared" si="8"/>
        <v>36742152.335030265</v>
      </c>
      <c r="V49" s="11">
        <f>V$48*$D$46/$D$47</f>
        <v>24.822695035461017</v>
      </c>
      <c r="W49" s="14">
        <f t="shared" si="9"/>
        <v>744680.85106383055</v>
      </c>
      <c r="X49" s="14">
        <f t="shared" ref="X49:X72" si="12">Y48/$G48</f>
        <v>561093.46772593132</v>
      </c>
      <c r="Y49" s="14">
        <f t="shared" ref="Y49:Y72" si="13">Y48-X49</f>
        <v>3363125.8964609536</v>
      </c>
      <c r="Z49" s="14">
        <f t="shared" si="10"/>
        <v>100893.7768938286</v>
      </c>
      <c r="AA49" s="14">
        <f t="shared" si="11"/>
        <v>661987.24461975996</v>
      </c>
      <c r="AB49" s="14">
        <f>W49*(VLOOKUP(86,$A$24:$K$72,11,FALSE)-1)</f>
        <v>3858990.4458992565</v>
      </c>
      <c r="AC49" s="11">
        <f>($N48-$N49)+(V48-V49)</f>
        <v>21.952254964539001</v>
      </c>
      <c r="AD49" s="14">
        <f t="shared" ref="AD49:AD73" si="14">AC49*$B$21</f>
        <v>658567.64893617004</v>
      </c>
      <c r="AE49" s="14">
        <f>AD$46/$G47</f>
        <v>577697.74181016092</v>
      </c>
      <c r="AF49" s="14">
        <f>AD$46-AE49</f>
        <v>3729240.8666411964</v>
      </c>
      <c r="AG49" s="14">
        <f t="shared" ref="AG49:AG73" si="15">$B$20*AF49</f>
        <v>111877.22599923589</v>
      </c>
      <c r="AH49" s="14">
        <f t="shared" ref="AH49:AH73" si="16">AE49+AG49</f>
        <v>689574.9678093968</v>
      </c>
      <c r="AI49" s="14">
        <f>AD49*(VLOOKUP(85,$A$24:$K$72,11,FALSE)-1)</f>
        <v>3648370.9595151874</v>
      </c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EZ49" s="15"/>
      <c r="FA49" s="14"/>
      <c r="FB49" s="14"/>
      <c r="FD49" s="14"/>
      <c r="FE49" s="15"/>
      <c r="FF49" s="14"/>
      <c r="FG49" s="14"/>
      <c r="HR49" s="15"/>
      <c r="HS49" s="15"/>
      <c r="HT49" s="15"/>
      <c r="HU49" s="14"/>
      <c r="HV49" s="14"/>
      <c r="NC49" s="15">
        <v>3</v>
      </c>
      <c r="ND49" s="15">
        <f>N49+V49+AC49</f>
        <v>300</v>
      </c>
      <c r="NE49" s="14">
        <f>P49+W49+AD49</f>
        <v>9000000</v>
      </c>
      <c r="NF49" s="14">
        <f>T49+AA49+AH49</f>
        <v>9125849.9246646389</v>
      </c>
      <c r="NH49" s="14">
        <f>U49+AB49+AI49</f>
        <v>44249513.740444705</v>
      </c>
      <c r="NI49" s="14">
        <f>R49+Y49+AF49</f>
        <v>44105430.66213578</v>
      </c>
    </row>
    <row r="50" spans="1:373" x14ac:dyDescent="0.25">
      <c r="A50" s="1">
        <f>'CCRC F'!A50</f>
        <v>88</v>
      </c>
      <c r="B50" s="3">
        <f>'CCRC F'!B50</f>
        <v>0.10299999999999999</v>
      </c>
      <c r="D50">
        <f t="shared" si="5"/>
        <v>3584.5523658706697</v>
      </c>
      <c r="E50">
        <f t="shared" si="6"/>
        <v>369.20889368467897</v>
      </c>
      <c r="F50">
        <f t="shared" si="0"/>
        <v>21909.942656221832</v>
      </c>
      <c r="G50">
        <f t="shared" si="2"/>
        <v>6.1123232191643595</v>
      </c>
      <c r="I50">
        <f t="shared" si="3"/>
        <v>265.92499222635274</v>
      </c>
      <c r="J50">
        <f t="shared" si="1"/>
        <v>1457.8489387670943</v>
      </c>
      <c r="K50" s="18">
        <f t="shared" si="4"/>
        <v>5.4821809960839918</v>
      </c>
      <c r="M50">
        <v>4</v>
      </c>
      <c r="N50" s="9">
        <f>$B$18*$D$50/$D$47</f>
        <v>230.10560293499998</v>
      </c>
      <c r="O50" s="6">
        <f>$B$18*$B$21*$K$50</f>
        <v>49339628.964755923</v>
      </c>
      <c r="P50" s="6">
        <f>$B$18*$B$21*$D$50/$D$47</f>
        <v>6903168.0880500004</v>
      </c>
      <c r="Q50" s="6">
        <f>R49/$G$50</f>
        <v>6055482.1091568256</v>
      </c>
      <c r="R50" s="6">
        <f>R49-$Q$50</f>
        <v>30957581.789876811</v>
      </c>
      <c r="S50" s="6">
        <f>$B$20*$R$50</f>
        <v>928727.45369630435</v>
      </c>
      <c r="T50" s="6">
        <f t="shared" si="7"/>
        <v>6984209.5628531296</v>
      </c>
      <c r="U50" s="6">
        <f t="shared" si="8"/>
        <v>30941248.817031175</v>
      </c>
      <c r="V50" s="11">
        <f>V$49*$D$47/$D$47</f>
        <v>24.822695035461017</v>
      </c>
      <c r="W50" s="14">
        <f t="shared" si="9"/>
        <v>744680.85106383055</v>
      </c>
      <c r="X50" s="14">
        <f t="shared" si="12"/>
        <v>513119.97623536421</v>
      </c>
      <c r="Y50" s="14">
        <f t="shared" si="13"/>
        <v>2850005.9202255895</v>
      </c>
      <c r="Z50" s="14">
        <f t="shared" si="10"/>
        <v>85500.177606767684</v>
      </c>
      <c r="AA50" s="14">
        <f t="shared" si="11"/>
        <v>598620.15384213184</v>
      </c>
      <c r="AB50" s="14">
        <f>W50*(VLOOKUP(87,$A$24:$K$72,11,FALSE)-1)</f>
        <v>3601694.3914470877</v>
      </c>
      <c r="AC50" s="11">
        <f>AC$49*$D$46/$D$47</f>
        <v>23.589356291144423</v>
      </c>
      <c r="AD50" s="14">
        <f t="shared" si="14"/>
        <v>707680.68873433268</v>
      </c>
      <c r="AE50" s="14">
        <f t="shared" ref="AE50:AE73" si="17">AF49/$G48</f>
        <v>533215.01569077838</v>
      </c>
      <c r="AF50" s="14">
        <f t="shared" ref="AF50:AF73" si="18">AF49-AE50</f>
        <v>3196025.850950418</v>
      </c>
      <c r="AG50" s="14">
        <f t="shared" si="15"/>
        <v>95880.775528512531</v>
      </c>
      <c r="AH50" s="14">
        <f t="shared" si="16"/>
        <v>629095.79121929093</v>
      </c>
      <c r="AI50" s="14">
        <f>AD50*(VLOOKUP(86,$A$24:$K$72,11,FALSE)-1)</f>
        <v>3667252.907969716</v>
      </c>
      <c r="AJ50" s="11">
        <f>($N49-$N50)+(AC49-AC50)+(V49-V50)</f>
        <v>21.482345738394582</v>
      </c>
      <c r="AK50" s="14">
        <f t="shared" ref="AK50:AK74" si="19">AJ50*$B$21</f>
        <v>644470.37215183745</v>
      </c>
      <c r="AL50" s="14">
        <f>AK$46/$G47</f>
        <v>565331.56351832277</v>
      </c>
      <c r="AM50" s="14">
        <f>AK$46-AL50</f>
        <v>3649412.8629768705</v>
      </c>
      <c r="AN50" s="14">
        <f t="shared" ref="AN50:AN74" si="20">$B$20*AM50</f>
        <v>109482.38588930611</v>
      </c>
      <c r="AO50" s="14">
        <f t="shared" ref="AO50:AO74" si="21">AL50+AN50</f>
        <v>674813.94940762885</v>
      </c>
      <c r="AP50" s="14">
        <f>AK50*(VLOOKUP(85,$A$24:$K$72,11,FALSE)-1)</f>
        <v>3570274.0543433516</v>
      </c>
      <c r="AQ50" s="6"/>
      <c r="AR50" s="6"/>
      <c r="AS50" s="6"/>
      <c r="AT50" s="6"/>
      <c r="AU50" s="6"/>
      <c r="AV50" s="6"/>
      <c r="AW50" s="6"/>
      <c r="EZ50" s="15"/>
      <c r="FA50" s="14"/>
      <c r="FB50" s="14"/>
      <c r="FD50" s="14"/>
      <c r="FE50" s="15"/>
      <c r="FF50" s="14"/>
      <c r="FG50" s="14"/>
      <c r="HR50" s="15"/>
      <c r="HS50" s="15"/>
      <c r="HT50" s="15"/>
      <c r="HU50" s="14"/>
      <c r="HV50" s="14"/>
      <c r="NC50" s="15">
        <v>4</v>
      </c>
      <c r="ND50" s="15">
        <f>N50+V50+AC50+AJ50</f>
        <v>300</v>
      </c>
      <c r="NE50" s="14">
        <f>P50+W50+AD50+AK50</f>
        <v>9000000.0000000019</v>
      </c>
      <c r="NF50" s="14">
        <f>T50+AA50+AH50+AO50</f>
        <v>8886739.4573221821</v>
      </c>
      <c r="NH50" s="14">
        <f>U50+AB50+AI50+AP50</f>
        <v>41780470.170791328</v>
      </c>
      <c r="NI50" s="14">
        <f>R50+Y50+AF50+AM50</f>
        <v>40653026.424029693</v>
      </c>
    </row>
    <row r="51" spans="1:373" x14ac:dyDescent="0.25">
      <c r="A51" s="1">
        <f>'CCRC F'!A51</f>
        <v>89</v>
      </c>
      <c r="B51" s="3">
        <f>'CCRC F'!B51</f>
        <v>0.1195</v>
      </c>
      <c r="D51">
        <f t="shared" si="5"/>
        <v>3215.3434721859908</v>
      </c>
      <c r="E51">
        <f t="shared" si="6"/>
        <v>384.23354492622587</v>
      </c>
      <c r="F51">
        <f t="shared" si="0"/>
        <v>18325.390290351163</v>
      </c>
      <c r="G51">
        <f t="shared" si="2"/>
        <v>5.6993569890349605</v>
      </c>
      <c r="I51">
        <f t="shared" si="3"/>
        <v>231.58710488061979</v>
      </c>
      <c r="J51">
        <f t="shared" si="1"/>
        <v>1191.9239465407416</v>
      </c>
      <c r="K51" s="18">
        <f t="shared" si="4"/>
        <v>5.1467630166850746</v>
      </c>
      <c r="M51">
        <v>5</v>
      </c>
      <c r="N51" s="9">
        <f>$B$18*$D$51/$D$47</f>
        <v>206.40472583269499</v>
      </c>
      <c r="O51" s="6">
        <f>$B$18*$B$21*$K$51</f>
        <v>46320867.15016567</v>
      </c>
      <c r="P51" s="6">
        <f>$B$18*$B$21*$D$51/$D$47</f>
        <v>6192141.7749808496</v>
      </c>
      <c r="Q51" s="6">
        <f>R50/$G$51</f>
        <v>5431767.4519136734</v>
      </c>
      <c r="R51" s="6">
        <f>R50-$Q$51</f>
        <v>25525814.337963138</v>
      </c>
      <c r="S51" s="6">
        <f>$B$20*$R$51</f>
        <v>765774.43013889412</v>
      </c>
      <c r="T51" s="6">
        <f t="shared" si="7"/>
        <v>6197541.8820525678</v>
      </c>
      <c r="U51" s="6">
        <f t="shared" si="8"/>
        <v>25677344.506561261</v>
      </c>
      <c r="V51" s="11">
        <f>V$50*$D$48/$D$47</f>
        <v>22.911347517730515</v>
      </c>
      <c r="W51" s="14">
        <f t="shared" si="9"/>
        <v>687340.42553191551</v>
      </c>
      <c r="X51" s="14">
        <f t="shared" si="12"/>
        <v>466272.12240507553</v>
      </c>
      <c r="Y51" s="14">
        <f t="shared" si="13"/>
        <v>2383733.7978205141</v>
      </c>
      <c r="Z51" s="14">
        <f t="shared" si="10"/>
        <v>71512.013934615417</v>
      </c>
      <c r="AA51" s="14">
        <f t="shared" si="11"/>
        <v>537784.136339691</v>
      </c>
      <c r="AB51" s="14">
        <f>W51*(VLOOKUP(88,$A$24:$K$72,11,FALSE)-1)</f>
        <v>3080784.1931594359</v>
      </c>
      <c r="AC51" s="11">
        <f>AC$50*$D$47/$D$47</f>
        <v>23.589356291144423</v>
      </c>
      <c r="AD51" s="14">
        <f t="shared" si="14"/>
        <v>707680.68873433268</v>
      </c>
      <c r="AE51" s="14">
        <f t="shared" si="17"/>
        <v>487625.13184921688</v>
      </c>
      <c r="AF51" s="14">
        <f t="shared" si="18"/>
        <v>2708400.7191012013</v>
      </c>
      <c r="AG51" s="14">
        <f t="shared" si="15"/>
        <v>81252.021573036036</v>
      </c>
      <c r="AH51" s="14">
        <f t="shared" si="16"/>
        <v>568877.15342225297</v>
      </c>
      <c r="AI51" s="14">
        <f>AD51*(VLOOKUP(87,$A$24:$K$72,11,FALSE)-1)</f>
        <v>3422740.8478526631</v>
      </c>
      <c r="AJ51" s="11">
        <f>AJ$50*$D$46/$D$47</f>
        <v>23.084403329459036</v>
      </c>
      <c r="AK51" s="14">
        <f t="shared" si="19"/>
        <v>692532.09988377104</v>
      </c>
      <c r="AL51" s="14">
        <f t="shared" ref="AL51:AL74" si="22">AM50/$G48</f>
        <v>521801.03312741173</v>
      </c>
      <c r="AM51" s="14">
        <f t="shared" ref="AM51:AM74" si="23">AM50-AL51</f>
        <v>3127611.8298494588</v>
      </c>
      <c r="AN51" s="14">
        <f t="shared" si="20"/>
        <v>93828.354895483761</v>
      </c>
      <c r="AO51" s="14">
        <f t="shared" si="21"/>
        <v>615629.38802289544</v>
      </c>
      <c r="AP51" s="14">
        <f>AK51*(VLOOKUP(86,$A$24:$K$72,11,FALSE)-1)</f>
        <v>3588751.8164488832</v>
      </c>
      <c r="AQ51" s="11">
        <f>($N50-$N51)+(AJ50-AJ51)+(AC50-AC51)+(V50-V51)</f>
        <v>24.010167028971033</v>
      </c>
      <c r="AR51" s="14">
        <f t="shared" ref="AR51:AR75" si="24">AQ51*$B$21</f>
        <v>720305.01086913096</v>
      </c>
      <c r="AS51" s="14">
        <f>AR$46/$G47</f>
        <v>631853.96195185871</v>
      </c>
      <c r="AT51" s="14">
        <f>AR$46-AS51</f>
        <v>4078838.1988073378</v>
      </c>
      <c r="AU51" s="14">
        <f t="shared" ref="AU51:AU75" si="25">$B$20*AT51</f>
        <v>122365.14596422012</v>
      </c>
      <c r="AV51" s="14">
        <f t="shared" ref="AV51:AV75" si="26">AS51+AU51</f>
        <v>754219.10791607888</v>
      </c>
      <c r="AW51" s="14">
        <f>AR51*(VLOOKUP(85,$A$24:$K$72,11,FALSE)-1)</f>
        <v>3990387.1498900712</v>
      </c>
      <c r="EZ51" s="15"/>
      <c r="FA51" s="14"/>
      <c r="FB51" s="14"/>
      <c r="FD51" s="14"/>
      <c r="FE51" s="15"/>
      <c r="FF51" s="14"/>
      <c r="FG51" s="14"/>
      <c r="HR51" s="15"/>
      <c r="HS51" s="15"/>
      <c r="HT51" s="15"/>
      <c r="HU51" s="14"/>
      <c r="HV51" s="14"/>
      <c r="NC51" s="15">
        <v>5</v>
      </c>
      <c r="ND51" s="15">
        <f>N51+V51+AC51+AJ51+AQ51</f>
        <v>299.99999999999994</v>
      </c>
      <c r="NE51" s="14">
        <f>P51+W51+AD51+AK51+AR51</f>
        <v>9000000</v>
      </c>
      <c r="NF51" s="14">
        <f>T51+AA51+AH51+AO51+AV51</f>
        <v>8674051.6677534878</v>
      </c>
      <c r="NH51" s="14">
        <f>U51+AB51+AI51+AP51+AW51</f>
        <v>39760008.513912313</v>
      </c>
      <c r="NI51" s="14">
        <f>R51+Y51+AF51+AM51+AT51</f>
        <v>37824398.883541644</v>
      </c>
    </row>
    <row r="52" spans="1:373" x14ac:dyDescent="0.25">
      <c r="A52" s="1">
        <f>'CCRC F'!A52</f>
        <v>90</v>
      </c>
      <c r="B52" s="3">
        <f>'CCRC F'!B52</f>
        <v>0.13270000000000001</v>
      </c>
      <c r="D52">
        <f t="shared" si="5"/>
        <v>2831.1099272597648</v>
      </c>
      <c r="E52">
        <f t="shared" si="6"/>
        <v>375.68828734737082</v>
      </c>
      <c r="F52">
        <f t="shared" si="0"/>
        <v>15110.04681816517</v>
      </c>
      <c r="G52">
        <f t="shared" si="2"/>
        <v>5.3371459273537303</v>
      </c>
      <c r="I52">
        <f t="shared" si="3"/>
        <v>197.9732483955201</v>
      </c>
      <c r="J52">
        <f t="shared" si="1"/>
        <v>960.33684166012176</v>
      </c>
      <c r="K52" s="18">
        <f t="shared" si="4"/>
        <v>4.8508414618803268</v>
      </c>
      <c r="M52">
        <v>6</v>
      </c>
      <c r="N52" s="9">
        <f>$B$18*$D$52/$D$47</f>
        <v>181.73936109568794</v>
      </c>
      <c r="O52" s="6">
        <f>$B$18*$B$21*$K$52</f>
        <v>43657573.156922944</v>
      </c>
      <c r="P52" s="6">
        <f>$B$18*$B$21*$D$52/$D$47</f>
        <v>5452180.832870638</v>
      </c>
      <c r="Q52" s="6">
        <f>R51/$G$52</f>
        <v>4782671.24140999</v>
      </c>
      <c r="R52" s="6">
        <f>R51-$Q$52</f>
        <v>20743143.096553147</v>
      </c>
      <c r="S52" s="6">
        <f>$B$20*$R$52</f>
        <v>622294.29289659439</v>
      </c>
      <c r="T52" s="6">
        <f t="shared" si="7"/>
        <v>5404965.5343065839</v>
      </c>
      <c r="U52" s="6">
        <f t="shared" si="8"/>
        <v>20995484.008887466</v>
      </c>
      <c r="V52" s="11">
        <f>V$51*$D$49/$D$47</f>
        <v>19.339090402482285</v>
      </c>
      <c r="W52" s="14">
        <f t="shared" si="9"/>
        <v>580172.71207446849</v>
      </c>
      <c r="X52" s="14">
        <f t="shared" si="12"/>
        <v>418246.09379735275</v>
      </c>
      <c r="Y52" s="14">
        <f t="shared" si="13"/>
        <v>1965487.7040231614</v>
      </c>
      <c r="Z52" s="14">
        <f t="shared" si="10"/>
        <v>58964.631120694838</v>
      </c>
      <c r="AA52" s="14">
        <f t="shared" si="11"/>
        <v>477210.72491804761</v>
      </c>
      <c r="AB52" s="14">
        <f>W52*(VLOOKUP(89,$A$24:$K$72,11,FALSE)-1)</f>
        <v>2405838.7457202841</v>
      </c>
      <c r="AC52" s="11">
        <f>AC$51*$D$48/$D$47</f>
        <v>21.772975856726298</v>
      </c>
      <c r="AD52" s="14">
        <f t="shared" si="14"/>
        <v>653189.27570178895</v>
      </c>
      <c r="AE52" s="14">
        <f t="shared" si="17"/>
        <v>443104.95731138345</v>
      </c>
      <c r="AF52" s="14">
        <f t="shared" si="18"/>
        <v>2265295.7617898178</v>
      </c>
      <c r="AG52" s="14">
        <f t="shared" si="15"/>
        <v>67958.872853694527</v>
      </c>
      <c r="AH52" s="14">
        <f t="shared" si="16"/>
        <v>511063.83016507799</v>
      </c>
      <c r="AI52" s="14">
        <f>AD52*(VLOOKUP(88,$A$24:$K$72,11,FALSE)-1)</f>
        <v>2927712.5583964256</v>
      </c>
      <c r="AJ52" s="11">
        <f>AJ$51*$D$47/$D$47</f>
        <v>23.084403329459036</v>
      </c>
      <c r="AK52" s="14">
        <f t="shared" si="19"/>
        <v>692532.09988377104</v>
      </c>
      <c r="AL52" s="14">
        <f t="shared" si="22"/>
        <v>477187.04479501804</v>
      </c>
      <c r="AM52" s="14">
        <f t="shared" si="23"/>
        <v>2650424.7850544406</v>
      </c>
      <c r="AN52" s="14">
        <f t="shared" si="20"/>
        <v>79512.743551633219</v>
      </c>
      <c r="AO52" s="14">
        <f t="shared" si="21"/>
        <v>556699.78834665124</v>
      </c>
      <c r="AP52" s="14">
        <f>AK52*(VLOOKUP(87,$A$24:$K$72,11,FALSE)-1)</f>
        <v>3349473.7732079183</v>
      </c>
      <c r="AQ52" s="11">
        <f>AQ$51*$D$46/$D$47</f>
        <v>25.800738264529372</v>
      </c>
      <c r="AR52" s="14">
        <f t="shared" si="24"/>
        <v>774022.14793588116</v>
      </c>
      <c r="AS52" s="14">
        <f t="shared" ref="AS52:AS75" si="27">AT51/$G48</f>
        <v>583201.20688156551</v>
      </c>
      <c r="AT52" s="14">
        <f t="shared" ref="AT52:AT75" si="28">AT51-AS52</f>
        <v>3495636.9919257723</v>
      </c>
      <c r="AU52" s="14">
        <f t="shared" si="25"/>
        <v>104869.10975777317</v>
      </c>
      <c r="AV52" s="14">
        <f t="shared" si="26"/>
        <v>688070.31663933862</v>
      </c>
      <c r="AW52" s="14">
        <f>AR52*(VLOOKUP(86,$A$24:$K$72,11,FALSE)-1)</f>
        <v>4011039.1848157775</v>
      </c>
      <c r="AX52" s="11">
        <f>($N51-$N52)+(AQ51-AQ52)+(AJ51-AJ52)+(AC51-AC52)+(V51-V52)</f>
        <v>28.26343105111507</v>
      </c>
      <c r="AY52" s="14">
        <f t="shared" ref="AY52:AY76" si="29">AX52*$B$21</f>
        <v>847902.93153345212</v>
      </c>
      <c r="AZ52" s="14">
        <f>AY$46/$G47</f>
        <v>743783.28424171789</v>
      </c>
      <c r="BA52" s="14">
        <f>AY$46-AZ52</f>
        <v>4801381.1008288637</v>
      </c>
      <c r="BB52" s="14">
        <f t="shared" ref="BB52:BB76" si="30">$B$20*BA52</f>
        <v>144041.4330248659</v>
      </c>
      <c r="BC52" s="14">
        <f t="shared" ref="BC52:BC76" si="31">AZ52+BB52</f>
        <v>887824.71726658382</v>
      </c>
      <c r="BD52" s="14">
        <f>AY52*(VLOOKUP(85,$A$24:$K$72,11,FALSE)-1)</f>
        <v>4697261.4535371242</v>
      </c>
      <c r="EZ52" s="15"/>
      <c r="FA52" s="14"/>
      <c r="FB52" s="14"/>
      <c r="FD52" s="14"/>
      <c r="FE52" s="15"/>
      <c r="FF52" s="14"/>
      <c r="FG52" s="14"/>
      <c r="HR52" s="15"/>
      <c r="HS52" s="15"/>
      <c r="HT52" s="15"/>
      <c r="HU52" s="14"/>
      <c r="HV52" s="14"/>
      <c r="NC52" s="15">
        <v>6</v>
      </c>
      <c r="ND52" s="15">
        <f>N52+V52+AC52+AJ52+AQ52+AX52</f>
        <v>300</v>
      </c>
      <c r="NE52" s="14">
        <f>P52+W52+AD52+AK52+AR52+AY52</f>
        <v>9000000</v>
      </c>
      <c r="NF52" s="14">
        <f>T52+AA52+AH52+AO52+AV52+BC52</f>
        <v>8525834.9116422832</v>
      </c>
      <c r="NH52" s="14">
        <f>U52+AB52+AI52+AP52+AW52+BD52</f>
        <v>38386809.724564992</v>
      </c>
      <c r="NI52" s="14">
        <f>R52+Y52+AF52+AM52+AT52+BA52</f>
        <v>35921369.440175205</v>
      </c>
    </row>
    <row r="53" spans="1:373" x14ac:dyDescent="0.25">
      <c r="A53" s="1">
        <f>'CCRC F'!A53</f>
        <v>91</v>
      </c>
      <c r="B53" s="3">
        <f>'CCRC F'!B53</f>
        <v>0.14419999999999999</v>
      </c>
      <c r="D53">
        <f t="shared" si="5"/>
        <v>2455.4216399123939</v>
      </c>
      <c r="E53">
        <f t="shared" si="6"/>
        <v>354.07180047536718</v>
      </c>
      <c r="F53">
        <f t="shared" si="0"/>
        <v>12278.936890905406</v>
      </c>
      <c r="G53">
        <f t="shared" si="2"/>
        <v>5.0007447565475971</v>
      </c>
      <c r="I53">
        <f t="shared" si="3"/>
        <v>166.70116343051902</v>
      </c>
      <c r="J53">
        <f t="shared" si="1"/>
        <v>762.3635932646016</v>
      </c>
      <c r="K53" s="18">
        <f t="shared" si="4"/>
        <v>4.5732349887429216</v>
      </c>
      <c r="M53">
        <v>7</v>
      </c>
      <c r="N53" s="9">
        <f>$B$18*$D$53/$D$47</f>
        <v>157.62254787829013</v>
      </c>
      <c r="O53" s="6">
        <f>$B$18*$B$21*$K$53</f>
        <v>41159114.898686297</v>
      </c>
      <c r="P53" s="6">
        <f>$B$18*$B$21*$D$53/$D$47</f>
        <v>4728676.4363487037</v>
      </c>
      <c r="Q53" s="6">
        <f>R52/$G$53</f>
        <v>4148010.7676748834</v>
      </c>
      <c r="R53" s="6">
        <f>R52-$Q$53</f>
        <v>16595132.328878263</v>
      </c>
      <c r="S53" s="6">
        <f>$B$20*$R$53</f>
        <v>497853.96986634785</v>
      </c>
      <c r="T53" s="6">
        <f t="shared" si="7"/>
        <v>4645864.7375412313</v>
      </c>
      <c r="U53" s="6">
        <f t="shared" si="8"/>
        <v>16896672.092805378</v>
      </c>
      <c r="V53" s="11">
        <f>V$52*$D$50/$D$47</f>
        <v>14.833443524258858</v>
      </c>
      <c r="W53" s="14">
        <f t="shared" si="9"/>
        <v>445003.30572776572</v>
      </c>
      <c r="X53" s="14">
        <f t="shared" si="12"/>
        <v>368265.68558856921</v>
      </c>
      <c r="Y53" s="14">
        <f t="shared" si="13"/>
        <v>1597222.0184345923</v>
      </c>
      <c r="Z53" s="14">
        <f t="shared" si="10"/>
        <v>47916.660553037764</v>
      </c>
      <c r="AA53" s="14">
        <f t="shared" si="11"/>
        <v>416182.34614160698</v>
      </c>
      <c r="AB53" s="14">
        <f>W53*(VLOOKUP(90,$A$24:$K$72,11,FALSE)-1)</f>
        <v>1713637.1803702873</v>
      </c>
      <c r="AC53" s="11">
        <f>AC$52*$D$49/$D$47</f>
        <v>18.37820966656103</v>
      </c>
      <c r="AD53" s="14">
        <f t="shared" si="14"/>
        <v>551346.28999683086</v>
      </c>
      <c r="AE53" s="14">
        <f t="shared" si="17"/>
        <v>397465.14670831093</v>
      </c>
      <c r="AF53" s="14">
        <f t="shared" si="18"/>
        <v>1867830.6150815068</v>
      </c>
      <c r="AG53" s="14">
        <f t="shared" si="15"/>
        <v>56034.918452445199</v>
      </c>
      <c r="AH53" s="14">
        <f t="shared" si="16"/>
        <v>453500.06516075612</v>
      </c>
      <c r="AI53" s="14">
        <f>AD53*(VLOOKUP(89,$A$24:$K$72,11,FALSE)-1)</f>
        <v>2286302.4047453823</v>
      </c>
      <c r="AJ53" s="11">
        <f>AJ$52*$D$48/$D$47</f>
        <v>21.306904273090687</v>
      </c>
      <c r="AK53" s="14">
        <f t="shared" si="19"/>
        <v>639207.12819272059</v>
      </c>
      <c r="AL53" s="14">
        <f t="shared" si="22"/>
        <v>433619.86760523292</v>
      </c>
      <c r="AM53" s="14">
        <f t="shared" si="23"/>
        <v>2216804.9174492075</v>
      </c>
      <c r="AN53" s="14">
        <f t="shared" si="20"/>
        <v>66504.147523476218</v>
      </c>
      <c r="AO53" s="14">
        <f t="shared" si="21"/>
        <v>500124.01512870914</v>
      </c>
      <c r="AP53" s="14">
        <f>AK53*(VLOOKUP(88,$A$24:$K$72,11,FALSE)-1)</f>
        <v>2865042.0425468362</v>
      </c>
      <c r="AQ53" s="11">
        <f>AQ$52*$D$47/$D$47</f>
        <v>25.800738264529372</v>
      </c>
      <c r="AR53" s="14">
        <f t="shared" si="24"/>
        <v>774022.14793588116</v>
      </c>
      <c r="AS53" s="14">
        <f t="shared" si="27"/>
        <v>533337.50369319168</v>
      </c>
      <c r="AT53" s="14">
        <f t="shared" si="28"/>
        <v>2962299.4882325805</v>
      </c>
      <c r="AU53" s="14">
        <f t="shared" si="25"/>
        <v>88868.984646977406</v>
      </c>
      <c r="AV53" s="14">
        <f t="shared" si="26"/>
        <v>622206.48834016907</v>
      </c>
      <c r="AW53" s="14">
        <f>AR53*(VLOOKUP(87,$A$24:$K$72,11,FALSE)-1)</f>
        <v>3743605.3647598559</v>
      </c>
      <c r="AX53" s="11">
        <f>AX$52*$D$46/$D$47</f>
        <v>30.371191759203811</v>
      </c>
      <c r="AY53" s="14">
        <f t="shared" si="29"/>
        <v>911135.75277611427</v>
      </c>
      <c r="AZ53" s="14">
        <f t="shared" ref="AZ53:AZ76" si="32">BA52/$G48</f>
        <v>686511.9713551054</v>
      </c>
      <c r="BA53" s="14">
        <f t="shared" ref="BA53:BA76" si="33">BA52-AZ53</f>
        <v>4114869.1294737584</v>
      </c>
      <c r="BB53" s="14">
        <f t="shared" si="30"/>
        <v>123446.07388421275</v>
      </c>
      <c r="BC53" s="14">
        <f t="shared" si="31"/>
        <v>809958.04523931816</v>
      </c>
      <c r="BD53" s="14">
        <f>AY53*(VLOOKUP(86,$A$24:$K$72,11,FALSE)-1)</f>
        <v>4721571.8785534762</v>
      </c>
      <c r="BE53" s="11">
        <f>($N52-$N53)+(AX52-AX53)+(AQ52-AQ53)+(AJ52-AJ53)+(AC52-AC53)+(V52-V53)</f>
        <v>31.686964634066108</v>
      </c>
      <c r="BF53" s="14">
        <f t="shared" ref="BF53:BF77" si="34">BE53*$B$21</f>
        <v>950608.93902198318</v>
      </c>
      <c r="BG53" s="14">
        <f>BF$46/$G47</f>
        <v>833877.3371340913</v>
      </c>
      <c r="BH53" s="14">
        <f>BF$46-BG53</f>
        <v>5382969.7060306147</v>
      </c>
      <c r="BI53" s="14">
        <f t="shared" ref="BI53:BI77" si="35">$B$20*BH53</f>
        <v>161489.09118091845</v>
      </c>
      <c r="BJ53" s="14">
        <f t="shared" ref="BJ53:BJ77" si="36">BG53+BI53</f>
        <v>995366.42831500969</v>
      </c>
      <c r="BK53" s="14">
        <f>BF53*(VLOOKUP(85,$A$24:$K$72,11,FALSE)-1)</f>
        <v>5266238.1041427236</v>
      </c>
      <c r="EZ53" s="15"/>
      <c r="FA53" s="14"/>
      <c r="FB53" s="14"/>
      <c r="FD53" s="14"/>
      <c r="FE53" s="15"/>
      <c r="FF53" s="14"/>
      <c r="FG53" s="14"/>
      <c r="HR53" s="15"/>
      <c r="HS53" s="15"/>
      <c r="HT53" s="15"/>
      <c r="HU53" s="14"/>
      <c r="HV53" s="14"/>
      <c r="NC53" s="15">
        <v>7</v>
      </c>
      <c r="ND53" s="15">
        <f>N53+V53+AC53+AJ53+AQ53+AX53+BE53</f>
        <v>299.99999999999994</v>
      </c>
      <c r="NE53" s="14">
        <f>P53+W53+AD53+AK53+AR53+AY53+BF53</f>
        <v>9000000</v>
      </c>
      <c r="NF53" s="14">
        <f>T53+AA53+AH53+AO53+AV53+BC53+BJ53</f>
        <v>8443202.1258668005</v>
      </c>
      <c r="NH53" s="14">
        <f>U53+AB53+AI53+AP53+AW53+BD53+BK53</f>
        <v>37493069.067923933</v>
      </c>
      <c r="NI53" s="14">
        <f>R53+Y53+AF53+AM53+AT53+BA53+BH53</f>
        <v>34737128.203580521</v>
      </c>
    </row>
    <row r="54" spans="1:373" x14ac:dyDescent="0.25">
      <c r="A54" s="1">
        <f>'CCRC F'!A54</f>
        <v>92</v>
      </c>
      <c r="B54" s="3">
        <f>'CCRC F'!B54</f>
        <v>0.1573</v>
      </c>
      <c r="D54">
        <f t="shared" si="5"/>
        <v>2101.3498394370267</v>
      </c>
      <c r="E54">
        <f t="shared" si="6"/>
        <v>330.54232974344427</v>
      </c>
      <c r="F54">
        <f t="shared" si="0"/>
        <v>9823.5152509930122</v>
      </c>
      <c r="G54">
        <f t="shared" si="2"/>
        <v>4.6748594958490264</v>
      </c>
      <c r="I54">
        <f t="shared" si="3"/>
        <v>138.50762685809534</v>
      </c>
      <c r="J54">
        <f t="shared" si="1"/>
        <v>595.66242983408256</v>
      </c>
      <c r="K54" s="18">
        <f t="shared" si="4"/>
        <v>4.3005749455541116</v>
      </c>
      <c r="M54">
        <v>8</v>
      </c>
      <c r="N54" s="9">
        <f>$B$18*$D$54/$D$47</f>
        <v>134.89337647424071</v>
      </c>
      <c r="O54" s="6">
        <f>$B$18*$B$21*$K$54</f>
        <v>38705174.509987004</v>
      </c>
      <c r="P54" s="6">
        <f>$B$18*$B$21*$D$54/$D$47</f>
        <v>4046801.2942272206</v>
      </c>
      <c r="Q54" s="6">
        <f>R53/$G$54</f>
        <v>3549867.6149761654</v>
      </c>
      <c r="R54" s="6">
        <f>R53-$Q$54</f>
        <v>13045264.713902097</v>
      </c>
      <c r="S54" s="6">
        <f>$B$20*$R$54</f>
        <v>391357.94141706289</v>
      </c>
      <c r="T54" s="6">
        <f t="shared" si="7"/>
        <v>3941225.5563932285</v>
      </c>
      <c r="U54" s="6">
        <f t="shared" si="8"/>
        <v>13356770.961362317</v>
      </c>
      <c r="V54" s="11">
        <f>V$53*$D$51/$D$47</f>
        <v>10.205642812598047</v>
      </c>
      <c r="W54" s="14">
        <f t="shared" si="9"/>
        <v>306169.2843779414</v>
      </c>
      <c r="X54" s="14">
        <f t="shared" si="12"/>
        <v>319396.82911096601</v>
      </c>
      <c r="Y54" s="14">
        <f t="shared" si="13"/>
        <v>1277825.1893236262</v>
      </c>
      <c r="Z54" s="14">
        <f t="shared" si="10"/>
        <v>38334.755679708782</v>
      </c>
      <c r="AA54" s="14">
        <f t="shared" si="11"/>
        <v>357731.58479067479</v>
      </c>
      <c r="AB54" s="14">
        <f>W54*(VLOOKUP(91,$A$24:$K$72,11,FALSE)-1)</f>
        <v>1094014.7994176417</v>
      </c>
      <c r="AC54" s="11">
        <f>AC$53*$D$50/$D$47</f>
        <v>14.096430053966237</v>
      </c>
      <c r="AD54" s="14">
        <f t="shared" si="14"/>
        <v>422892.90161898715</v>
      </c>
      <c r="AE54" s="14">
        <f t="shared" si="17"/>
        <v>349968.06167666783</v>
      </c>
      <c r="AF54" s="14">
        <f t="shared" si="18"/>
        <v>1517862.553404839</v>
      </c>
      <c r="AG54" s="14">
        <f t="shared" si="15"/>
        <v>45535.876602145167</v>
      </c>
      <c r="AH54" s="14">
        <f t="shared" si="16"/>
        <v>395503.93827881297</v>
      </c>
      <c r="AI54" s="14">
        <f>AD54*(VLOOKUP(90,$A$24:$K$72,11,FALSE)-1)</f>
        <v>1628493.5194892737</v>
      </c>
      <c r="AJ54" s="11">
        <f>AJ$53*$D$49/$D$47</f>
        <v>17.98480633299534</v>
      </c>
      <c r="AK54" s="14">
        <f t="shared" si="19"/>
        <v>539544.18998986017</v>
      </c>
      <c r="AL54" s="14">
        <f t="shared" si="22"/>
        <v>388957.02124189388</v>
      </c>
      <c r="AM54" s="14">
        <f t="shared" si="23"/>
        <v>1827847.8962073135</v>
      </c>
      <c r="AN54" s="14">
        <f t="shared" si="20"/>
        <v>54835.436886219402</v>
      </c>
      <c r="AO54" s="14">
        <f t="shared" si="21"/>
        <v>443792.4581281133</v>
      </c>
      <c r="AP54" s="14">
        <f>AK54*(VLOOKUP(89,$A$24:$K$72,11,FALSE)-1)</f>
        <v>2237361.8929172577</v>
      </c>
      <c r="AQ54" s="11">
        <f>AQ$53*$D$48/$D$47</f>
        <v>23.814081418160608</v>
      </c>
      <c r="AR54" s="14">
        <f t="shared" si="24"/>
        <v>714422.44254481827</v>
      </c>
      <c r="AS54" s="14">
        <f t="shared" si="27"/>
        <v>484643.78960600327</v>
      </c>
      <c r="AT54" s="14">
        <f t="shared" si="28"/>
        <v>2477655.6986265774</v>
      </c>
      <c r="AU54" s="14">
        <f t="shared" si="25"/>
        <v>74329.670958797316</v>
      </c>
      <c r="AV54" s="14">
        <f t="shared" si="26"/>
        <v>558973.46056480054</v>
      </c>
      <c r="AW54" s="14">
        <f>AR54*(VLOOKUP(88,$A$24:$K$72,11,FALSE)-1)</f>
        <v>3202170.695150292</v>
      </c>
      <c r="AX54" s="11">
        <f>AX$53*$D$47/$D$47</f>
        <v>30.371191759203811</v>
      </c>
      <c r="AY54" s="14">
        <f t="shared" si="29"/>
        <v>911135.75277611427</v>
      </c>
      <c r="AZ54" s="14">
        <f t="shared" si="32"/>
        <v>627815.19780424389</v>
      </c>
      <c r="BA54" s="14">
        <f t="shared" si="33"/>
        <v>3487053.9316695146</v>
      </c>
      <c r="BB54" s="14">
        <f t="shared" si="30"/>
        <v>104611.61795008543</v>
      </c>
      <c r="BC54" s="14">
        <f t="shared" si="31"/>
        <v>732426.81575432932</v>
      </c>
      <c r="BD54" s="14">
        <f>AY54*(VLOOKUP(87,$A$24:$K$72,11,FALSE)-1)</f>
        <v>4406763.6839762982</v>
      </c>
      <c r="BE54" s="11">
        <f>BE$53*$D$46/$D$47</f>
        <v>34.05003721692038</v>
      </c>
      <c r="BF54" s="14">
        <f t="shared" si="34"/>
        <v>1021501.1165076114</v>
      </c>
      <c r="BG54" s="14">
        <f t="shared" ref="BG54:BG77" si="37">BH53/$G48</f>
        <v>769668.78217476618</v>
      </c>
      <c r="BH54" s="14">
        <f t="shared" ref="BH54:BH77" si="38">BH53-BG54</f>
        <v>4613300.9238558486</v>
      </c>
      <c r="BI54" s="14">
        <f t="shared" si="35"/>
        <v>138399.02771567545</v>
      </c>
      <c r="BJ54" s="14">
        <f t="shared" si="36"/>
        <v>908067.8098904416</v>
      </c>
      <c r="BK54" s="14">
        <f>BF54*(VLOOKUP(86,$A$24:$K$72,11,FALSE)-1)</f>
        <v>5293493.2373337056</v>
      </c>
      <c r="BL54" s="11">
        <f>($N53-$N54)+(BE53-BE54)+(AX53-AX54)+(AQ53-AQ54)+(AJ53-AJ54)+(AC53-AC54)+(V53-V54)</f>
        <v>34.584433931914866</v>
      </c>
      <c r="BM54" s="14">
        <f t="shared" ref="BM54:BM78" si="39">BL54*$B$21</f>
        <v>1037533.0179574459</v>
      </c>
      <c r="BN54" s="14">
        <f>BM$46/$G47</f>
        <v>910127.42957495584</v>
      </c>
      <c r="BO54" s="14">
        <f>BM$46-BN54</f>
        <v>5875190.7071455596</v>
      </c>
      <c r="BP54" s="14">
        <f t="shared" ref="BP54:BP78" si="40">$B$20*BO54</f>
        <v>176255.72121436679</v>
      </c>
      <c r="BQ54" s="14">
        <f t="shared" ref="BQ54:BQ78" si="41">BN54+BP54</f>
        <v>1086383.1507893226</v>
      </c>
      <c r="BR54" s="14">
        <f>BM54*(VLOOKUP(85,$A$24:$K$72,11,FALSE)-1)</f>
        <v>5747785.1187630622</v>
      </c>
      <c r="EZ54" s="15"/>
      <c r="FA54" s="14"/>
      <c r="FB54" s="14"/>
      <c r="FD54" s="14"/>
      <c r="FE54" s="15"/>
      <c r="FF54" s="14"/>
      <c r="FG54" s="14"/>
      <c r="HR54" s="15"/>
      <c r="HS54" s="15"/>
      <c r="HT54" s="15"/>
      <c r="HU54" s="14"/>
      <c r="HV54" s="14"/>
      <c r="NC54" s="15">
        <v>8</v>
      </c>
      <c r="ND54" s="15">
        <f>N54+V54+AC54+AJ54+AQ54+AX54+BE54+BL54</f>
        <v>300</v>
      </c>
      <c r="NE54" s="14">
        <f>P54+W54+AD54+AK54+AR54+AY54+BF54+BM54</f>
        <v>8999999.9999999981</v>
      </c>
      <c r="NF54" s="14">
        <f>T54+AA54+AH54+AO54+AV54+BC54+BJ54+BQ54</f>
        <v>8424104.774589723</v>
      </c>
      <c r="NH54" s="14">
        <f>U54+AB54+AI54+AP54+AW54+BD54+BK54+BR54</f>
        <v>36966853.908409849</v>
      </c>
      <c r="NI54" s="14">
        <f>R54+Y54+AF54+AM54+AT54+BA54+BH54+BO54</f>
        <v>34122001.614135377</v>
      </c>
    </row>
    <row r="55" spans="1:373" x14ac:dyDescent="0.25">
      <c r="A55" s="1">
        <f>'CCRC F'!A55</f>
        <v>93</v>
      </c>
      <c r="B55" s="3">
        <f>'CCRC F'!B55</f>
        <v>0.1759</v>
      </c>
      <c r="D55">
        <f t="shared" si="5"/>
        <v>1770.8075096935825</v>
      </c>
      <c r="E55">
        <f t="shared" si="6"/>
        <v>311.48504095510117</v>
      </c>
      <c r="F55">
        <f t="shared" si="0"/>
        <v>7722.165411555985</v>
      </c>
      <c r="G55">
        <f t="shared" si="2"/>
        <v>4.3608158251442113</v>
      </c>
      <c r="I55">
        <f t="shared" si="3"/>
        <v>113.32075451778343</v>
      </c>
      <c r="J55">
        <f t="shared" si="1"/>
        <v>457.1548029759872</v>
      </c>
      <c r="K55" s="18">
        <f t="shared" si="4"/>
        <v>4.0341666001195389</v>
      </c>
      <c r="M55">
        <v>9</v>
      </c>
      <c r="N55" s="9">
        <f>$B$18*$D$55/$D$47</f>
        <v>113.67464835484265</v>
      </c>
      <c r="O55" s="6">
        <f>$B$18*$B$21*$K$55</f>
        <v>36307499.401075847</v>
      </c>
      <c r="P55" s="6">
        <f>$B$18*$B$21*$D$55/$D$47</f>
        <v>3410239.4506452796</v>
      </c>
      <c r="Q55" s="6">
        <f>R54/$G$55</f>
        <v>2991473.4391404144</v>
      </c>
      <c r="R55" s="6">
        <f>R54-$Q$55</f>
        <v>10053791.274761682</v>
      </c>
      <c r="S55" s="6">
        <f>$B$20*$R$55</f>
        <v>301613.73824285046</v>
      </c>
      <c r="T55" s="6">
        <f t="shared" si="7"/>
        <v>3293087.177383265</v>
      </c>
      <c r="U55" s="6">
        <f t="shared" si="8"/>
        <v>10347234.639557911</v>
      </c>
      <c r="V55" s="11">
        <f>V$54*$D$52/$D$47</f>
        <v>6.1825566811078954</v>
      </c>
      <c r="W55" s="14">
        <f t="shared" si="9"/>
        <v>185476.70043323687</v>
      </c>
      <c r="X55" s="14">
        <f t="shared" si="12"/>
        <v>273339.80635316472</v>
      </c>
      <c r="Y55" s="14">
        <f t="shared" si="13"/>
        <v>1004485.3829704615</v>
      </c>
      <c r="Z55" s="14">
        <f t="shared" si="10"/>
        <v>30134.561489113843</v>
      </c>
      <c r="AA55" s="14">
        <f t="shared" si="11"/>
        <v>303474.36784227856</v>
      </c>
      <c r="AB55" s="14">
        <f>W55*(VLOOKUP(92,$A$24:$K$72,11,FALSE)-1)</f>
        <v>612179.75043398701</v>
      </c>
      <c r="AC55" s="11">
        <f>AC$54*$D$51/$D$47</f>
        <v>9.698565935028876</v>
      </c>
      <c r="AD55" s="14">
        <f t="shared" si="14"/>
        <v>290956.97805086628</v>
      </c>
      <c r="AE55" s="14">
        <f t="shared" si="17"/>
        <v>303527.29989217396</v>
      </c>
      <c r="AF55" s="14">
        <f t="shared" si="18"/>
        <v>1214335.2535126652</v>
      </c>
      <c r="AG55" s="14">
        <f t="shared" si="15"/>
        <v>36430.057605379952</v>
      </c>
      <c r="AH55" s="14">
        <f t="shared" si="16"/>
        <v>339957.35749755392</v>
      </c>
      <c r="AI55" s="14">
        <f>AD55*(VLOOKUP(91,$A$24:$K$72,11,FALSE)-1)</f>
        <v>1039657.6541902616</v>
      </c>
      <c r="AJ55" s="11">
        <f>AJ$54*$D$50/$D$47</f>
        <v>13.794682349743663</v>
      </c>
      <c r="AK55" s="14">
        <f t="shared" si="19"/>
        <v>413840.47049230989</v>
      </c>
      <c r="AL55" s="14">
        <f t="shared" si="22"/>
        <v>342476.65720348764</v>
      </c>
      <c r="AM55" s="14">
        <f t="shared" si="23"/>
        <v>1485371.2390038259</v>
      </c>
      <c r="AN55" s="14">
        <f t="shared" si="20"/>
        <v>44561.137170114773</v>
      </c>
      <c r="AO55" s="14">
        <f t="shared" si="21"/>
        <v>387037.79437360243</v>
      </c>
      <c r="AP55" s="14">
        <f>AK55*(VLOOKUP(90,$A$24:$K$72,11,FALSE)-1)</f>
        <v>1593634.0423758489</v>
      </c>
      <c r="AQ55" s="11">
        <f>AQ$54*$D$49/$D$47</f>
        <v>20.101073192725966</v>
      </c>
      <c r="AR55" s="14">
        <f t="shared" si="24"/>
        <v>603032.19578177901</v>
      </c>
      <c r="AS55" s="14">
        <f t="shared" si="27"/>
        <v>434725.47927658499</v>
      </c>
      <c r="AT55" s="14">
        <f t="shared" si="28"/>
        <v>2042930.2193499925</v>
      </c>
      <c r="AU55" s="14">
        <f t="shared" si="25"/>
        <v>61287.906580499774</v>
      </c>
      <c r="AV55" s="14">
        <f t="shared" si="26"/>
        <v>496013.38585708477</v>
      </c>
      <c r="AW55" s="14">
        <f>AR55*(VLOOKUP(89,$A$24:$K$72,11,FALSE)-1)</f>
        <v>2500631.6073382744</v>
      </c>
      <c r="AX55" s="11">
        <f>AX$54*$D$48/$D$47</f>
        <v>28.032609993745115</v>
      </c>
      <c r="AY55" s="14">
        <f t="shared" si="29"/>
        <v>840978.29981235345</v>
      </c>
      <c r="AZ55" s="14">
        <f t="shared" si="32"/>
        <v>570495.67024471657</v>
      </c>
      <c r="BA55" s="14">
        <f t="shared" si="33"/>
        <v>2916558.2614247981</v>
      </c>
      <c r="BB55" s="14">
        <f t="shared" si="30"/>
        <v>87496.747842743935</v>
      </c>
      <c r="BC55" s="14">
        <f t="shared" si="31"/>
        <v>657992.41808746057</v>
      </c>
      <c r="BD55" s="14">
        <f>AY55*(VLOOKUP(88,$A$24:$K$72,11,FALSE)-1)</f>
        <v>3769416.9535379563</v>
      </c>
      <c r="BE55" s="11">
        <f>BE$54*$D$47/$D$47</f>
        <v>34.05003721692038</v>
      </c>
      <c r="BF55" s="14">
        <f t="shared" si="34"/>
        <v>1021501.1165076114</v>
      </c>
      <c r="BG55" s="14">
        <f t="shared" si="37"/>
        <v>703862.10129882372</v>
      </c>
      <c r="BH55" s="14">
        <f t="shared" si="38"/>
        <v>3909438.8225570247</v>
      </c>
      <c r="BI55" s="14">
        <f t="shared" si="35"/>
        <v>117283.16467671073</v>
      </c>
      <c r="BJ55" s="14">
        <f t="shared" si="36"/>
        <v>821145.26597553445</v>
      </c>
      <c r="BK55" s="14">
        <f>BF55*(VLOOKUP(87,$A$24:$K$72,11,FALSE)-1)</f>
        <v>4940552.5023592208</v>
      </c>
      <c r="BL55" s="11">
        <f>BL$54*$D$46/$D$47</f>
        <v>37.16358685999878</v>
      </c>
      <c r="BM55" s="14">
        <f t="shared" si="39"/>
        <v>1114907.6057999635</v>
      </c>
      <c r="BN55" s="14">
        <f t="shared" ref="BN55:BN78" si="42">BO54/$G48</f>
        <v>840047.61749768397</v>
      </c>
      <c r="BO55" s="14">
        <f t="shared" ref="BO55:BO78" si="43">BO54-BN55</f>
        <v>5035143.0896478761</v>
      </c>
      <c r="BP55" s="14">
        <f t="shared" si="40"/>
        <v>151054.29268943629</v>
      </c>
      <c r="BQ55" s="14">
        <f t="shared" si="41"/>
        <v>991101.91018712032</v>
      </c>
      <c r="BR55" s="14">
        <f>BM55*(VLOOKUP(86,$A$24:$K$72,11,FALSE)-1)</f>
        <v>5777532.4727313155</v>
      </c>
      <c r="BS55" s="11">
        <f>($N54-$N55)+(BL54-BL55)+(BE54-BE55)+(AX54-AX55)+(AQ54-AQ55)+(AJ54-AJ55)+(AC54-AC55)+(V54-V55)</f>
        <v>37.302239415886682</v>
      </c>
      <c r="BT55" s="14">
        <f t="shared" ref="BT55:BT79" si="44">BS55*$B$21</f>
        <v>1119067.1824766004</v>
      </c>
      <c r="BU55" s="14">
        <f>BT$46/$G47</f>
        <v>981649.47108303895</v>
      </c>
      <c r="BV55" s="14">
        <f>BT$46-BU55</f>
        <v>6336890.4867254496</v>
      </c>
      <c r="BW55" s="14">
        <f t="shared" ref="BW55:BW79" si="45">$B$20*BV55</f>
        <v>190106.71460176347</v>
      </c>
      <c r="BX55" s="14">
        <f t="shared" ref="BX55:BX79" si="46">BU55+BW55</f>
        <v>1171756.1856848025</v>
      </c>
      <c r="BY55" s="14">
        <f>BT55*(VLOOKUP(85,$A$24:$K$72,11,FALSE)-1)</f>
        <v>6199472.7753318837</v>
      </c>
      <c r="EZ55" s="15"/>
      <c r="FA55" s="14"/>
      <c r="FB55" s="14"/>
      <c r="FD55" s="14"/>
      <c r="FE55" s="15"/>
      <c r="FF55" s="14"/>
      <c r="FG55" s="14"/>
      <c r="HR55" s="15"/>
      <c r="HS55" s="15"/>
      <c r="HT55" s="15"/>
      <c r="HU55" s="14"/>
      <c r="HV55" s="14"/>
      <c r="NC55" s="15">
        <v>9</v>
      </c>
      <c r="ND55" s="15">
        <f>N55+V55+AC55+AJ55+AQ55+AX55+BE55+BL55+BS55</f>
        <v>300</v>
      </c>
      <c r="NE55" s="14">
        <f>P55+W55+AD55+AK55+AR55+AY55+BF55+BM55+BT55</f>
        <v>9000000</v>
      </c>
      <c r="NF55" s="14">
        <f>T55+AA55+AH55+AO55+AV55+BC55+BJ55+BQ55+BX55</f>
        <v>8461565.8628887031</v>
      </c>
      <c r="NH55" s="14">
        <f>U55+AB55+AI55+AP55+AW55+BD55+BK55+BR55+BY55</f>
        <v>36780312.39785666</v>
      </c>
      <c r="NI55" s="14">
        <f>R55+Y55+AF55+AM55+AT55+BA55+BH55+BO55+BV55</f>
        <v>33998944.029953778</v>
      </c>
    </row>
    <row r="56" spans="1:373" x14ac:dyDescent="0.25">
      <c r="A56" s="1">
        <f>'CCRC F'!A56</f>
        <v>94</v>
      </c>
      <c r="B56" s="3">
        <f>'CCRC F'!B56</f>
        <v>0.19589999999999999</v>
      </c>
      <c r="D56">
        <f t="shared" si="5"/>
        <v>1459.3224687384813</v>
      </c>
      <c r="E56">
        <f t="shared" si="6"/>
        <v>285.88127162586846</v>
      </c>
      <c r="F56">
        <f t="shared" si="0"/>
        <v>5951.3579018624023</v>
      </c>
      <c r="G56">
        <f t="shared" si="2"/>
        <v>4.0781650590270724</v>
      </c>
      <c r="I56">
        <f t="shared" si="3"/>
        <v>90.667605629228476</v>
      </c>
      <c r="J56">
        <f t="shared" si="1"/>
        <v>343.83404845820377</v>
      </c>
      <c r="K56" s="18">
        <f t="shared" si="4"/>
        <v>3.792248025874438</v>
      </c>
      <c r="M56">
        <v>10</v>
      </c>
      <c r="N56" s="9">
        <f>$B$18*$D$56/$D$47</f>
        <v>93.679277709225829</v>
      </c>
      <c r="O56" s="6">
        <f>$B$18*$B$21*$K$56</f>
        <v>34130232.232869945</v>
      </c>
      <c r="P56" s="6">
        <f>$B$18*$B$21*$D$56/$D$47</f>
        <v>2810378.3312767749</v>
      </c>
      <c r="Q56" s="6">
        <f>R55/$G$56</f>
        <v>2465273.2611956159</v>
      </c>
      <c r="R56" s="6">
        <f>R55-$Q$56</f>
        <v>7588518.0135660665</v>
      </c>
      <c r="S56" s="6">
        <f>$B$20*$R$56</f>
        <v>227655.54040698198</v>
      </c>
      <c r="T56" s="6">
        <f t="shared" si="7"/>
        <v>2692928.8016025978</v>
      </c>
      <c r="U56" s="6">
        <f t="shared" si="8"/>
        <v>7847273.3474678723</v>
      </c>
      <c r="V56" s="11">
        <f>V$55*$D$53/$D$47</f>
        <v>3.2483677882605728</v>
      </c>
      <c r="W56" s="14">
        <f t="shared" si="9"/>
        <v>97451.033647817181</v>
      </c>
      <c r="X56" s="14">
        <f t="shared" si="12"/>
        <v>230343.4548138119</v>
      </c>
      <c r="Y56" s="14">
        <f t="shared" si="13"/>
        <v>774141.92815664958</v>
      </c>
      <c r="Z56" s="14">
        <f t="shared" si="10"/>
        <v>23224.257844699485</v>
      </c>
      <c r="AA56" s="14">
        <f t="shared" si="11"/>
        <v>253567.71265851139</v>
      </c>
      <c r="AB56" s="14">
        <f>W56*(VLOOKUP(93,$A$24:$K$72,11,FALSE)-1)</f>
        <v>295682.67144133226</v>
      </c>
      <c r="AC56" s="11">
        <f>AC$55*$D$52/$D$47</f>
        <v>5.8753705885885035</v>
      </c>
      <c r="AD56" s="14">
        <f t="shared" si="14"/>
        <v>176261.11765765509</v>
      </c>
      <c r="AE56" s="14">
        <f t="shared" si="17"/>
        <v>259758.66324772252</v>
      </c>
      <c r="AF56" s="14">
        <f t="shared" si="18"/>
        <v>954576.59026494261</v>
      </c>
      <c r="AG56" s="14">
        <f t="shared" si="15"/>
        <v>28637.297707948277</v>
      </c>
      <c r="AH56" s="14">
        <f t="shared" si="16"/>
        <v>288395.9609556708</v>
      </c>
      <c r="AI56" s="14">
        <f>AD56*(VLOOKUP(92,$A$24:$K$72,11,FALSE)-1)</f>
        <v>581763.02881622186</v>
      </c>
      <c r="AJ56" s="11">
        <f>AJ$55*$D$51/$D$47</f>
        <v>9.4909587611598578</v>
      </c>
      <c r="AK56" s="14">
        <f t="shared" si="19"/>
        <v>284728.76283479575</v>
      </c>
      <c r="AL56" s="14">
        <f t="shared" si="22"/>
        <v>297030.00479258475</v>
      </c>
      <c r="AM56" s="14">
        <f t="shared" si="23"/>
        <v>1188341.2342112411</v>
      </c>
      <c r="AN56" s="14">
        <f t="shared" si="20"/>
        <v>35650.237026337236</v>
      </c>
      <c r="AO56" s="14">
        <f t="shared" si="21"/>
        <v>332680.24181892199</v>
      </c>
      <c r="AP56" s="14">
        <f>AK56*(VLOOKUP(91,$A$24:$K$72,11,FALSE)-1)</f>
        <v>1017402.7776627773</v>
      </c>
      <c r="AQ56" s="11">
        <f>AQ$55*$D$50/$D$47</f>
        <v>15.417898555509247</v>
      </c>
      <c r="AR56" s="14">
        <f t="shared" si="24"/>
        <v>462536.95666527742</v>
      </c>
      <c r="AS56" s="14">
        <f t="shared" si="27"/>
        <v>382775.78450303315</v>
      </c>
      <c r="AT56" s="14">
        <f t="shared" si="28"/>
        <v>1660154.4348469593</v>
      </c>
      <c r="AU56" s="14">
        <f t="shared" si="25"/>
        <v>49804.63304540878</v>
      </c>
      <c r="AV56" s="14">
        <f t="shared" si="26"/>
        <v>432580.41754844191</v>
      </c>
      <c r="AW56" s="14">
        <f>AR56*(VLOOKUP(90,$A$24:$K$72,11,FALSE)-1)</f>
        <v>1781156.4903785943</v>
      </c>
      <c r="AX56" s="11">
        <f>AX$55*$D$49/$D$47</f>
        <v>23.661863557655352</v>
      </c>
      <c r="AY56" s="14">
        <f t="shared" si="29"/>
        <v>709855.90672966058</v>
      </c>
      <c r="AZ56" s="14">
        <f t="shared" si="32"/>
        <v>511734.61620951071</v>
      </c>
      <c r="BA56" s="14">
        <f t="shared" si="33"/>
        <v>2404823.6452152873</v>
      </c>
      <c r="BB56" s="14">
        <f t="shared" si="30"/>
        <v>72144.70935645861</v>
      </c>
      <c r="BC56" s="14">
        <f t="shared" si="31"/>
        <v>583879.32556596934</v>
      </c>
      <c r="BD56" s="14">
        <f>AY56*(VLOOKUP(89,$A$24:$K$72,11,FALSE)-1)</f>
        <v>2943604.2212020061</v>
      </c>
      <c r="BE56" s="11">
        <f>BE$55*$D$48/$D$47</f>
        <v>31.428184351217507</v>
      </c>
      <c r="BF56" s="14">
        <f t="shared" si="34"/>
        <v>942845.53053652518</v>
      </c>
      <c r="BG56" s="14">
        <f t="shared" si="37"/>
        <v>639599.49145024107</v>
      </c>
      <c r="BH56" s="14">
        <f t="shared" si="38"/>
        <v>3269839.3311067838</v>
      </c>
      <c r="BI56" s="14">
        <f t="shared" si="35"/>
        <v>98095.179933203515</v>
      </c>
      <c r="BJ56" s="14">
        <f t="shared" si="36"/>
        <v>737694.67138344457</v>
      </c>
      <c r="BK56" s="14">
        <f>BF56*(VLOOKUP(88,$A$24:$K$72,11,FALSE)-1)</f>
        <v>4226004.3192135422</v>
      </c>
      <c r="BL56" s="11">
        <f>BL$55*$D$47/$D$47</f>
        <v>37.16358685999878</v>
      </c>
      <c r="BM56" s="14">
        <f t="shared" si="39"/>
        <v>1114907.6057999635</v>
      </c>
      <c r="BN56" s="14">
        <f t="shared" si="42"/>
        <v>768223.54620163201</v>
      </c>
      <c r="BO56" s="14">
        <f t="shared" si="43"/>
        <v>4266919.5434462437</v>
      </c>
      <c r="BP56" s="14">
        <f t="shared" si="40"/>
        <v>128007.5863033873</v>
      </c>
      <c r="BQ56" s="14">
        <f t="shared" si="41"/>
        <v>896231.13250501931</v>
      </c>
      <c r="BR56" s="14">
        <f>BM56*(VLOOKUP(87,$A$24:$K$72,11,FALSE)-1)</f>
        <v>5392318.6893484844</v>
      </c>
      <c r="BS56" s="11">
        <f>BS$55*$D$46/$D$47</f>
        <v>40.084074162783878</v>
      </c>
      <c r="BT56" s="14">
        <f t="shared" si="44"/>
        <v>1202522.2248835163</v>
      </c>
      <c r="BU56" s="14">
        <f t="shared" ref="BU56:BU79" si="47">BV55/$G48</f>
        <v>906062.46180964459</v>
      </c>
      <c r="BV56" s="14">
        <f t="shared" ref="BV56:BV79" si="48">BV55-BU56</f>
        <v>5430828.0249158051</v>
      </c>
      <c r="BW56" s="14">
        <f t="shared" si="45"/>
        <v>162924.84074747414</v>
      </c>
      <c r="BX56" s="14">
        <f t="shared" si="46"/>
        <v>1068987.3025571187</v>
      </c>
      <c r="BY56" s="14">
        <f>BT56*(VLOOKUP(86,$A$24:$K$72,11,FALSE)-1)</f>
        <v>6231557.8145694025</v>
      </c>
      <c r="BZ56" s="11">
        <f>($N55-$N56)+(BS55-BS56)+(BL55-BL56)+(BE55-BE56)+(AX55-AX56)+(AQ55-AQ56)+(AJ55-AJ56)+(AC55-AC56)+(V55-V56)</f>
        <v>39.950417665600476</v>
      </c>
      <c r="CA56" s="14">
        <f t="shared" ref="CA56:CA80" si="49">BZ56*$B$21</f>
        <v>1198512.5299680142</v>
      </c>
      <c r="CB56" s="14">
        <f>CA$46/$G47</f>
        <v>1051339.1953160029</v>
      </c>
      <c r="CC56" s="14">
        <f>CA$46-CB56</f>
        <v>6786762.0177793633</v>
      </c>
      <c r="CD56" s="14">
        <f t="shared" ref="CD56:CD80" si="50">$B$20*CC56</f>
        <v>203602.86053338088</v>
      </c>
      <c r="CE56" s="14">
        <f t="shared" ref="CE56:CE80" si="51">CB56+CD56</f>
        <v>1254942.0558493838</v>
      </c>
      <c r="CF56" s="14">
        <f>CA56*(VLOOKUP(85,$A$24:$K$72,11,FALSE)-1)</f>
        <v>6639588.6831273474</v>
      </c>
      <c r="EZ56" s="15"/>
      <c r="FA56" s="14"/>
      <c r="FB56" s="14"/>
      <c r="FD56" s="14"/>
      <c r="FE56" s="15"/>
      <c r="FF56" s="14"/>
      <c r="FG56" s="14"/>
      <c r="HR56" s="15"/>
      <c r="HS56" s="15"/>
      <c r="HT56" s="15"/>
      <c r="HU56" s="14"/>
      <c r="HV56" s="14"/>
      <c r="NC56" s="15">
        <v>10</v>
      </c>
      <c r="ND56" s="15">
        <f>N56+V56+AC56+AJ56+AQ56+AX56+BE56+BL56+BS56+BZ56</f>
        <v>300</v>
      </c>
      <c r="NE56" s="14">
        <f>P56+W56+AD56+AK56+AR56+AY56+BF56+BM56+BT56+CA56</f>
        <v>9000000</v>
      </c>
      <c r="NF56" s="14">
        <f>T56+AA56+AH56+AO56+AV56+BC56+BJ56+BQ56+BX56+CE56</f>
        <v>8541887.6224450804</v>
      </c>
      <c r="NH56" s="14">
        <f>U56+AB56+AI56+AP56+AW56+BD56+BK56+BR56+BY56+CF56</f>
        <v>36956352.043227583</v>
      </c>
      <c r="NI56" s="14">
        <f>R56+Y56+AF56+AM56+AT56+BA56+BH56+BO56+BV56+CC56</f>
        <v>34324904.763509348</v>
      </c>
    </row>
    <row r="57" spans="1:373" x14ac:dyDescent="0.25">
      <c r="A57" s="1">
        <f>'CCRC F'!A57</f>
        <v>95</v>
      </c>
      <c r="B57" s="3">
        <f>'CCRC F'!B57</f>
        <v>0.216</v>
      </c>
      <c r="D57">
        <f t="shared" si="5"/>
        <v>1173.4411971126128</v>
      </c>
      <c r="E57">
        <f t="shared" si="6"/>
        <v>253.46329857632438</v>
      </c>
      <c r="F57">
        <f t="shared" si="0"/>
        <v>4492.0354331239214</v>
      </c>
      <c r="G57">
        <f t="shared" si="2"/>
        <v>3.828087375981934</v>
      </c>
      <c r="I57">
        <f t="shared" si="3"/>
        <v>70.782351151905445</v>
      </c>
      <c r="J57">
        <f t="shared" si="1"/>
        <v>253.16644282897528</v>
      </c>
      <c r="K57" s="18">
        <f t="shared" si="4"/>
        <v>3.5766888031969546</v>
      </c>
      <c r="M57">
        <v>11</v>
      </c>
      <c r="N57" s="9">
        <f>$B$18*$D$57/$D$47</f>
        <v>75.327507205988482</v>
      </c>
      <c r="O57" s="6">
        <f>$B$18*$B$21*$K$57</f>
        <v>32190199.228772592</v>
      </c>
      <c r="P57" s="6">
        <f>$B$18*$B$21*$D$57/$D$47</f>
        <v>2259825.2161796545</v>
      </c>
      <c r="Q57" s="6">
        <f>R56/$G$57</f>
        <v>1982326.2293273944</v>
      </c>
      <c r="R57" s="6">
        <f>R56-$Q$57</f>
        <v>5606191.7842386719</v>
      </c>
      <c r="S57" s="6">
        <f>$B$20*$R$57</f>
        <v>168185.75352716015</v>
      </c>
      <c r="T57" s="6">
        <f t="shared" si="7"/>
        <v>2150511.9828545544</v>
      </c>
      <c r="U57" s="6">
        <f t="shared" si="8"/>
        <v>5822866.3317122534</v>
      </c>
      <c r="V57" s="11">
        <f>V$56*$D$54/$D$47</f>
        <v>1.460610996628767</v>
      </c>
      <c r="W57" s="14">
        <f t="shared" si="9"/>
        <v>43818.329898863012</v>
      </c>
      <c r="X57" s="14">
        <f t="shared" si="12"/>
        <v>189826.04111206243</v>
      </c>
      <c r="Y57" s="14">
        <f t="shared" si="13"/>
        <v>584315.88704458717</v>
      </c>
      <c r="Z57" s="14">
        <f t="shared" si="10"/>
        <v>17529.476611337614</v>
      </c>
      <c r="AA57" s="14">
        <f t="shared" si="11"/>
        <v>207355.51772340006</v>
      </c>
      <c r="AB57" s="14">
        <f>W57*(VLOOKUP(94,$A$24:$K$72,11,FALSE)-1)</f>
        <v>122351.64515721511</v>
      </c>
      <c r="AC57" s="11">
        <f>AC$56*$D$53/$D$47</f>
        <v>3.0869696063416301</v>
      </c>
      <c r="AD57" s="14">
        <f t="shared" si="14"/>
        <v>92609.088190248905</v>
      </c>
      <c r="AE57" s="14">
        <f t="shared" si="17"/>
        <v>218898.62551885576</v>
      </c>
      <c r="AF57" s="14">
        <f t="shared" si="18"/>
        <v>735677.96474608686</v>
      </c>
      <c r="AG57" s="14">
        <f t="shared" si="15"/>
        <v>22070.338942382605</v>
      </c>
      <c r="AH57" s="14">
        <f t="shared" si="16"/>
        <v>240968.96446123836</v>
      </c>
      <c r="AI57" s="14">
        <f>AD57*(VLOOKUP(93,$A$24:$K$72,11,FALSE)-1)</f>
        <v>280991.40225437807</v>
      </c>
      <c r="AJ57" s="11">
        <f>AJ$56*$D$52/$D$47</f>
        <v>5.7496026047957143</v>
      </c>
      <c r="AK57" s="14">
        <f t="shared" si="19"/>
        <v>172488.07814387142</v>
      </c>
      <c r="AL57" s="14">
        <f t="shared" si="22"/>
        <v>254198.27810149407</v>
      </c>
      <c r="AM57" s="14">
        <f t="shared" si="23"/>
        <v>934142.95610974706</v>
      </c>
      <c r="AN57" s="14">
        <f t="shared" si="20"/>
        <v>28024.288683292412</v>
      </c>
      <c r="AO57" s="14">
        <f t="shared" si="21"/>
        <v>282222.56678478647</v>
      </c>
      <c r="AP57" s="14">
        <f>AK57*(VLOOKUP(92,$A$24:$K$72,11,FALSE)-1)</f>
        <v>569309.82912844175</v>
      </c>
      <c r="AQ57" s="11">
        <f>AQ$56*$D$51/$D$47</f>
        <v>10.607757080887302</v>
      </c>
      <c r="AR57" s="14">
        <f t="shared" si="24"/>
        <v>318232.71242661902</v>
      </c>
      <c r="AS57" s="14">
        <f t="shared" si="27"/>
        <v>331981.43789948057</v>
      </c>
      <c r="AT57" s="14">
        <f t="shared" si="28"/>
        <v>1328172.9969474787</v>
      </c>
      <c r="AU57" s="14">
        <f t="shared" si="25"/>
        <v>39845.189908424363</v>
      </c>
      <c r="AV57" s="14">
        <f t="shared" si="26"/>
        <v>371826.62780790497</v>
      </c>
      <c r="AW57" s="14">
        <f>AR57*(VLOOKUP(91,$A$24:$K$72,11,FALSE)-1)</f>
        <v>1137120.2626053593</v>
      </c>
      <c r="AX57" s="11">
        <f>AX$56*$D$50/$D$47</f>
        <v>18.149091268333297</v>
      </c>
      <c r="AY57" s="14">
        <f t="shared" si="29"/>
        <v>544472.73804999888</v>
      </c>
      <c r="AZ57" s="14">
        <f t="shared" si="32"/>
        <v>450582.32957247429</v>
      </c>
      <c r="BA57" s="14">
        <f t="shared" si="33"/>
        <v>1954241.315642813</v>
      </c>
      <c r="BB57" s="14">
        <f t="shared" si="30"/>
        <v>58627.239469284388</v>
      </c>
      <c r="BC57" s="14">
        <f t="shared" si="31"/>
        <v>509209.56904175866</v>
      </c>
      <c r="BD57" s="14">
        <f>AY57*(VLOOKUP(90,$A$24:$K$72,11,FALSE)-1)</f>
        <v>2096678.194546442</v>
      </c>
      <c r="BE57" s="11">
        <f>BE$56*$D$49/$D$47</f>
        <v>26.528011845820899</v>
      </c>
      <c r="BF57" s="14">
        <f t="shared" si="34"/>
        <v>795840.35537462693</v>
      </c>
      <c r="BG57" s="14">
        <f t="shared" si="37"/>
        <v>573720.7438308663</v>
      </c>
      <c r="BH57" s="14">
        <f t="shared" si="38"/>
        <v>2696118.5872759176</v>
      </c>
      <c r="BI57" s="14">
        <f t="shared" si="35"/>
        <v>80883.557618277526</v>
      </c>
      <c r="BJ57" s="14">
        <f t="shared" si="36"/>
        <v>654604.30144914379</v>
      </c>
      <c r="BK57" s="14">
        <f>BF57*(VLOOKUP(89,$A$24:$K$72,11,FALSE)-1)</f>
        <v>3300161.3528530099</v>
      </c>
      <c r="BL57" s="11">
        <f>BL$56*$D$48/$D$47</f>
        <v>34.301990671778874</v>
      </c>
      <c r="BM57" s="14">
        <f t="shared" si="39"/>
        <v>1029059.7201533662</v>
      </c>
      <c r="BN57" s="14">
        <f t="shared" si="42"/>
        <v>698084.73643342301</v>
      </c>
      <c r="BO57" s="14">
        <f t="shared" si="43"/>
        <v>3568834.8070128206</v>
      </c>
      <c r="BP57" s="14">
        <f t="shared" si="40"/>
        <v>107065.04421038461</v>
      </c>
      <c r="BQ57" s="14">
        <f t="shared" si="41"/>
        <v>805149.78064380761</v>
      </c>
      <c r="BR57" s="14">
        <f>BM57*(VLOOKUP(88,$A$24:$K$72,11,FALSE)-1)</f>
        <v>4612431.9215069292</v>
      </c>
      <c r="BS57" s="11">
        <f>BS$56*$D$47/$D$47</f>
        <v>40.084074162783878</v>
      </c>
      <c r="BT57" s="14">
        <f t="shared" si="44"/>
        <v>1202522.2248835163</v>
      </c>
      <c r="BU57" s="14">
        <f t="shared" si="47"/>
        <v>828594.1213249201</v>
      </c>
      <c r="BV57" s="14">
        <f t="shared" si="48"/>
        <v>4602233.903590885</v>
      </c>
      <c r="BW57" s="14">
        <f t="shared" si="45"/>
        <v>138067.01710772654</v>
      </c>
      <c r="BX57" s="14">
        <f t="shared" si="46"/>
        <v>966661.13843264664</v>
      </c>
      <c r="BY57" s="14">
        <f>BT57*(VLOOKUP(87,$A$24:$K$72,11,FALSE)-1)</f>
        <v>5816072.1425374625</v>
      </c>
      <c r="BZ57" s="11">
        <f>BZ$56*$D$46/$D$47</f>
        <v>42.929741742532208</v>
      </c>
      <c r="CA57" s="14">
        <f t="shared" si="49"/>
        <v>1287892.2522759663</v>
      </c>
      <c r="CB57" s="14">
        <f t="shared" ref="CB57:CB80" si="52">CC56/$G48</f>
        <v>970386.07727667061</v>
      </c>
      <c r="CC57" s="14">
        <f t="shared" ref="CC57:CC80" si="53">CC56-CB57</f>
        <v>5816375.9405026929</v>
      </c>
      <c r="CD57" s="14">
        <f t="shared" si="50"/>
        <v>174491.27821508079</v>
      </c>
      <c r="CE57" s="14">
        <f t="shared" si="51"/>
        <v>1144877.3554917513</v>
      </c>
      <c r="CF57" s="14">
        <f>CA57*(VLOOKUP(86,$A$24:$K$72,11,FALSE)-1)</f>
        <v>6673951.518668266</v>
      </c>
      <c r="CG57" s="11">
        <f>($N56-$N57)+(BZ56-BZ57)+(BS56-BS57)+(BL56-BL57)+(BE56-BE57)+(AX56-AX57)+(AQ56-AQ57)+(AJ56-AJ57)+(AC56-AC57)+(V56-V57)</f>
        <v>41.774642814108944</v>
      </c>
      <c r="CH57" s="14">
        <f t="shared" ref="CH57:CH81" si="54">CG57*$B$21</f>
        <v>1253239.2844232684</v>
      </c>
      <c r="CI57" s="14">
        <f>CH$46/$G47</f>
        <v>1099345.6871569993</v>
      </c>
      <c r="CJ57" s="14">
        <f>CH$46-CI57</f>
        <v>7096660.7040310241</v>
      </c>
      <c r="CK57" s="14">
        <f t="shared" ref="CK57:CK81" si="55">$B$20*CJ57</f>
        <v>212899.82112093072</v>
      </c>
      <c r="CL57" s="14">
        <f t="shared" ref="CL57:CL81" si="56">CI57+CK57</f>
        <v>1312245.5082779299</v>
      </c>
      <c r="CM57" s="14">
        <f>CH57*(VLOOKUP(85,$A$24:$K$72,11,FALSE)-1)</f>
        <v>6942767.1067647645</v>
      </c>
      <c r="EZ57" s="15"/>
      <c r="FA57" s="14"/>
      <c r="FB57" s="14"/>
      <c r="FD57" s="14"/>
      <c r="FE57" s="15"/>
      <c r="FF57" s="14"/>
      <c r="FG57" s="14"/>
      <c r="HR57" s="15"/>
      <c r="HS57" s="15"/>
      <c r="HT57" s="15"/>
      <c r="HU57" s="14"/>
      <c r="HV57" s="14"/>
      <c r="NC57" s="15">
        <v>11</v>
      </c>
      <c r="ND57" s="15">
        <f>N57+V57+AC57+AJ57+AQ57+AX57+BE57+BL57+BS57+BZ57+CG57</f>
        <v>300</v>
      </c>
      <c r="NE57" s="14">
        <f>P57+W57+AD57+AK57+AR57+AY57+BF57+BM57+BT57+CA57+CH57</f>
        <v>9000000</v>
      </c>
      <c r="NF57" s="14">
        <f>T57+AA57+AH57+AO57+AV57+BC57+BJ57+BQ57+BX57+CE57+CL57</f>
        <v>8645633.3129689228</v>
      </c>
      <c r="NH57" s="14">
        <f>U57+AB57+AI57+AP57+AW57+BD57+BK57+BR57+BY57+CF57+CM57</f>
        <v>37374701.707734525</v>
      </c>
      <c r="NI57" s="14">
        <f>R57+Y57+AF57+AM57+AT57+BA57+BH57+BO57+BV57+CC57+CJ57</f>
        <v>34922966.847142726</v>
      </c>
    </row>
    <row r="58" spans="1:373" x14ac:dyDescent="0.25">
      <c r="A58" s="1">
        <f>'CCRC F'!A58</f>
        <v>96</v>
      </c>
      <c r="B58" s="3">
        <f>'CCRC F'!B58</f>
        <v>0.2359</v>
      </c>
      <c r="D58">
        <f t="shared" si="5"/>
        <v>919.97789853628842</v>
      </c>
      <c r="E58">
        <f t="shared" si="6"/>
        <v>217.02278626471045</v>
      </c>
      <c r="F58">
        <f t="shared" si="0"/>
        <v>3318.5942360113086</v>
      </c>
      <c r="G58">
        <f t="shared" si="2"/>
        <v>3.6072543060994056</v>
      </c>
      <c r="I58">
        <f t="shared" si="3"/>
        <v>53.87705175057657</v>
      </c>
      <c r="J58">
        <f t="shared" si="1"/>
        <v>182.38409167706982</v>
      </c>
      <c r="K58" s="18">
        <f t="shared" si="4"/>
        <v>3.3851906470572235</v>
      </c>
      <c r="M58">
        <v>12</v>
      </c>
      <c r="N58" s="9">
        <f>$B$18*$D$58/$D$47</f>
        <v>59.05676564949497</v>
      </c>
      <c r="O58" s="6">
        <f>$B$18*$B$21*$K$58</f>
        <v>30466715.823515013</v>
      </c>
      <c r="P58" s="6">
        <f>$B$18*$B$21*$D$58/$D$47</f>
        <v>1771702.9694848491</v>
      </c>
      <c r="Q58" s="6">
        <f>R57/$G$58</f>
        <v>1554143.7637926771</v>
      </c>
      <c r="R58" s="6">
        <f>R57-$Q$58</f>
        <v>4052048.020445995</v>
      </c>
      <c r="S58" s="6">
        <f>$B$20*$R$58</f>
        <v>121561.44061337985</v>
      </c>
      <c r="T58" s="6">
        <f t="shared" si="7"/>
        <v>1675705.204406057</v>
      </c>
      <c r="U58" s="6">
        <f t="shared" si="8"/>
        <v>4225849.352178772</v>
      </c>
      <c r="V58" s="11">
        <f>V$57*$D$55/$D$47</f>
        <v>0.55344813808330451</v>
      </c>
      <c r="W58" s="14">
        <f t="shared" si="9"/>
        <v>16603.444142499135</v>
      </c>
      <c r="X58" s="14">
        <f t="shared" si="12"/>
        <v>152639.11965820938</v>
      </c>
      <c r="Y58" s="14">
        <f t="shared" si="13"/>
        <v>431676.76738637779</v>
      </c>
      <c r="Z58" s="14">
        <f t="shared" si="10"/>
        <v>12950.303021591333</v>
      </c>
      <c r="AA58" s="14">
        <f t="shared" si="11"/>
        <v>165589.42267980071</v>
      </c>
      <c r="AB58" s="14">
        <f>W58*(VLOOKUP(95,$A$24:$K$72,11,FALSE)-1)</f>
        <v>42781.908616483583</v>
      </c>
      <c r="AC58" s="11">
        <f>AC$57*$D$54/$D$47</f>
        <v>1.3880391775759338</v>
      </c>
      <c r="AD58" s="14">
        <f t="shared" si="14"/>
        <v>41641.175327278012</v>
      </c>
      <c r="AE58" s="14">
        <f t="shared" si="17"/>
        <v>180394.35729008907</v>
      </c>
      <c r="AF58" s="14">
        <f t="shared" si="18"/>
        <v>555283.60745599773</v>
      </c>
      <c r="AG58" s="14">
        <f t="shared" si="15"/>
        <v>16658.508223679932</v>
      </c>
      <c r="AH58" s="14">
        <f t="shared" si="16"/>
        <v>197052.86551376901</v>
      </c>
      <c r="AI58" s="14">
        <f>AD58*(VLOOKUP(94,$A$24:$K$72,11,FALSE)-1)</f>
        <v>116272.48960268339</v>
      </c>
      <c r="AJ58" s="11">
        <f>AJ$57*$D$53/$D$47</f>
        <v>3.0208900395185139</v>
      </c>
      <c r="AK58" s="14">
        <f t="shared" si="19"/>
        <v>90626.701185555416</v>
      </c>
      <c r="AL58" s="14">
        <f t="shared" si="22"/>
        <v>214212.88895612903</v>
      </c>
      <c r="AM58" s="14">
        <f t="shared" si="23"/>
        <v>719930.06715361797</v>
      </c>
      <c r="AN58" s="14">
        <f t="shared" si="20"/>
        <v>21597.902014608539</v>
      </c>
      <c r="AO58" s="14">
        <f t="shared" si="21"/>
        <v>235810.79097073758</v>
      </c>
      <c r="AP58" s="14">
        <f>AK58*(VLOOKUP(93,$A$24:$K$72,11,FALSE)-1)</f>
        <v>274976.50981622608</v>
      </c>
      <c r="AQ58" s="11">
        <f>AQ$57*$D$52/$D$47</f>
        <v>6.4261566484623929</v>
      </c>
      <c r="AR58" s="14">
        <f t="shared" si="24"/>
        <v>192784.69945387178</v>
      </c>
      <c r="AS58" s="14">
        <f t="shared" si="27"/>
        <v>284109.7145543755</v>
      </c>
      <c r="AT58" s="14">
        <f t="shared" si="28"/>
        <v>1044063.2823931032</v>
      </c>
      <c r="AU58" s="14">
        <f t="shared" si="25"/>
        <v>31321.898471793094</v>
      </c>
      <c r="AV58" s="14">
        <f t="shared" si="26"/>
        <v>315431.6130261686</v>
      </c>
      <c r="AW58" s="14">
        <f>AR58*(VLOOKUP(92,$A$24:$K$72,11,FALSE)-1)</f>
        <v>636300.34890362865</v>
      </c>
      <c r="AX58" s="11">
        <f>AX$57*$D$51/$D$47</f>
        <v>12.486860691176309</v>
      </c>
      <c r="AY58" s="14">
        <f t="shared" si="29"/>
        <v>374605.82073528925</v>
      </c>
      <c r="AZ58" s="14">
        <f t="shared" si="32"/>
        <v>390790.05443820683</v>
      </c>
      <c r="BA58" s="14">
        <f t="shared" si="33"/>
        <v>1563451.2612046062</v>
      </c>
      <c r="BB58" s="14">
        <f t="shared" si="30"/>
        <v>46903.537836138181</v>
      </c>
      <c r="BC58" s="14">
        <f t="shared" si="31"/>
        <v>437693.59227434499</v>
      </c>
      <c r="BD58" s="14">
        <f>AY58*(VLOOKUP(91,$A$24:$K$72,11,FALSE)-1)</f>
        <v>1338554.6256380943</v>
      </c>
      <c r="BE58" s="11">
        <f>BE$57*$D$50/$D$47</f>
        <v>20.347480534831469</v>
      </c>
      <c r="BF58" s="14">
        <f t="shared" si="34"/>
        <v>610424.41604494408</v>
      </c>
      <c r="BG58" s="14">
        <f t="shared" si="37"/>
        <v>505161.11494307785</v>
      </c>
      <c r="BH58" s="14">
        <f t="shared" si="38"/>
        <v>2190957.4723328399</v>
      </c>
      <c r="BI58" s="14">
        <f t="shared" si="35"/>
        <v>65728.724169985187</v>
      </c>
      <c r="BJ58" s="14">
        <f t="shared" si="36"/>
        <v>570889.83911306306</v>
      </c>
      <c r="BK58" s="14">
        <f>BF58*(VLOOKUP(90,$A$24:$K$72,11,FALSE)-1)</f>
        <v>2350647.6506499574</v>
      </c>
      <c r="BL58" s="11">
        <f>BL$57*$D$49/$D$47</f>
        <v>28.953744343202459</v>
      </c>
      <c r="BM58" s="14">
        <f t="shared" si="39"/>
        <v>868612.33029607381</v>
      </c>
      <c r="BN58" s="14">
        <f t="shared" si="42"/>
        <v>626182.00858078047</v>
      </c>
      <c r="BO58" s="14">
        <f t="shared" si="43"/>
        <v>2942652.79843204</v>
      </c>
      <c r="BP58" s="14">
        <f t="shared" si="40"/>
        <v>88279.583952961199</v>
      </c>
      <c r="BQ58" s="14">
        <f t="shared" si="41"/>
        <v>714461.59253374161</v>
      </c>
      <c r="BR58" s="14">
        <f>BM58*(VLOOKUP(89,$A$24:$K$72,11,FALSE)-1)</f>
        <v>3601929.4871083996</v>
      </c>
      <c r="BS58" s="11">
        <f>BS$57*$D$48/$D$47</f>
        <v>36.997600452249522</v>
      </c>
      <c r="BT58" s="14">
        <f t="shared" si="44"/>
        <v>1109928.0135674856</v>
      </c>
      <c r="BU58" s="14">
        <f t="shared" si="47"/>
        <v>752943.47804795485</v>
      </c>
      <c r="BV58" s="14">
        <f t="shared" si="48"/>
        <v>3849290.4255429301</v>
      </c>
      <c r="BW58" s="14">
        <f t="shared" si="45"/>
        <v>115478.71276628791</v>
      </c>
      <c r="BX58" s="14">
        <f t="shared" si="46"/>
        <v>868422.1908142427</v>
      </c>
      <c r="BY58" s="14">
        <f>BT58*(VLOOKUP(88,$A$24:$K$72,11,FALSE)-1)</f>
        <v>4974898.2494334392</v>
      </c>
      <c r="BZ58" s="11">
        <f>BZ$57*$D$47/$D$47</f>
        <v>42.929741742532208</v>
      </c>
      <c r="CA58" s="14">
        <f t="shared" si="49"/>
        <v>1287892.2522759663</v>
      </c>
      <c r="CB58" s="14">
        <f t="shared" si="52"/>
        <v>887418.06766951538</v>
      </c>
      <c r="CC58" s="14">
        <f t="shared" si="53"/>
        <v>4928957.8728331774</v>
      </c>
      <c r="CD58" s="14">
        <f t="shared" si="50"/>
        <v>147868.73618499533</v>
      </c>
      <c r="CE58" s="14">
        <f t="shared" si="51"/>
        <v>1035286.8038545107</v>
      </c>
      <c r="CF58" s="14">
        <f>CA58*(VLOOKUP(87,$A$24:$K$72,11,FALSE)-1)</f>
        <v>6228969.4910026724</v>
      </c>
      <c r="CG58" s="11">
        <f>CG$57*$D$46/$D$47</f>
        <v>44.890009471425898</v>
      </c>
      <c r="CH58" s="14">
        <f t="shared" si="54"/>
        <v>1346700.2841427769</v>
      </c>
      <c r="CI58" s="14">
        <f t="shared" ref="CI58:CI81" si="57">CJ57/$G48</f>
        <v>1014696.06924591</v>
      </c>
      <c r="CJ58" s="14">
        <f t="shared" ref="CJ58:CJ81" si="58">CJ57-CI58</f>
        <v>6081964.6347851139</v>
      </c>
      <c r="CK58" s="14">
        <f t="shared" si="55"/>
        <v>182458.9390435534</v>
      </c>
      <c r="CL58" s="14">
        <f t="shared" si="56"/>
        <v>1197155.0082894634</v>
      </c>
      <c r="CM58" s="14">
        <f>CH58*(VLOOKUP(86,$A$24:$K$72,11,FALSE)-1)</f>
        <v>6978699.025995682</v>
      </c>
      <c r="CN58" s="11">
        <f>($N57-$N58)+(CG57-CG58)+(BZ57-BZ58)+(BS57-BS58)+(BL57-BL58)+(BE57-BE58)+(AX57-AX58)+(AQ57-AQ58)+(AJ57-AJ58)+(AC57-AC58)+(V57-V58)</f>
        <v>42.949263111447017</v>
      </c>
      <c r="CO58" s="14">
        <f t="shared" ref="CO58:CO82" si="59">CN58*$B$21</f>
        <v>1288477.8933434105</v>
      </c>
      <c r="CP58" s="14">
        <f>CO$46/$G47</f>
        <v>1130257.1126279931</v>
      </c>
      <c r="CQ58" s="14">
        <f>CO$46-CP58</f>
        <v>7296204.761017221</v>
      </c>
      <c r="CR58" s="14">
        <f t="shared" ref="CR58:CR82" si="60">$B$20*CQ58</f>
        <v>218886.14283051662</v>
      </c>
      <c r="CS58" s="14">
        <f t="shared" ref="CS58:CS82" si="61">CP58+CR58</f>
        <v>1349143.2554585098</v>
      </c>
      <c r="CT58" s="14">
        <f>CO58*(VLOOKUP(85,$A$24:$K$72,11,FALSE)-1)</f>
        <v>7137983.9803018058</v>
      </c>
      <c r="EZ58" s="15"/>
      <c r="FA58" s="14"/>
      <c r="FB58" s="14"/>
      <c r="FD58" s="14"/>
      <c r="FE58" s="15"/>
      <c r="FF58" s="14"/>
      <c r="FG58" s="14"/>
      <c r="HR58" s="15"/>
      <c r="HS58" s="15"/>
      <c r="HT58" s="15"/>
      <c r="HU58" s="14"/>
      <c r="HV58" s="14"/>
      <c r="NC58" s="15">
        <v>12</v>
      </c>
      <c r="ND58" s="15">
        <f>N58+V58+AC58+AJ58+AQ58+AX58+BE58+BL58+BS58+BZ58+CG58+CN58</f>
        <v>300</v>
      </c>
      <c r="NE58" s="14">
        <f>P58+W58+AD58+AK58+AR58+AY58+BF58+BM58+BT58+CA58+CH58+CO58</f>
        <v>9000000</v>
      </c>
      <c r="NF58" s="14">
        <f>T58+AA58+AH58+AO58+AV58+BC58+BJ58+BQ58+BX58+CE58+CL58+CS58</f>
        <v>8762642.1789344102</v>
      </c>
      <c r="NH58" s="14">
        <f>U58+AB58+AI58+AP58+AW58+BD58+BK58+BR58+BY58+CF58+CM58+CT58</f>
        <v>37907863.119247846</v>
      </c>
      <c r="NI58" s="14">
        <f>R58+Y58+AF58+AM58+AT58+BA58+BH58+BO58+BV58+CC58+CJ58+CQ58</f>
        <v>35656480.970983021</v>
      </c>
    </row>
    <row r="59" spans="1:373" x14ac:dyDescent="0.25">
      <c r="A59" s="1">
        <f>'CCRC F'!A59</f>
        <v>97</v>
      </c>
      <c r="B59" s="3">
        <f>'CCRC F'!B59</f>
        <v>0.25509999999999999</v>
      </c>
      <c r="D59">
        <f t="shared" si="5"/>
        <v>702.95511227157795</v>
      </c>
      <c r="E59">
        <f t="shared" si="6"/>
        <v>179.32384914047952</v>
      </c>
      <c r="F59">
        <f t="shared" si="0"/>
        <v>2398.6163374750199</v>
      </c>
      <c r="G59">
        <f t="shared" si="2"/>
        <v>3.4121899045928616</v>
      </c>
      <c r="I59">
        <f t="shared" si="3"/>
        <v>39.968403148170438</v>
      </c>
      <c r="J59">
        <f t="shared" si="1"/>
        <v>128.50703992649323</v>
      </c>
      <c r="K59" s="18">
        <f t="shared" si="4"/>
        <v>3.2152157655659472</v>
      </c>
      <c r="M59">
        <v>13</v>
      </c>
      <c r="N59" s="9">
        <f>$B$18*$D$59/$D$47</f>
        <v>45.125274632779103</v>
      </c>
      <c r="O59" s="6">
        <f>$B$18*$B$21*$K$59</f>
        <v>28936941.890093524</v>
      </c>
      <c r="P59" s="6">
        <f>$B$18*$B$21*$D$59/$D$47</f>
        <v>1353758.2389833732</v>
      </c>
      <c r="Q59" s="6">
        <f>R58/$G$59</f>
        <v>1187521.2499139847</v>
      </c>
      <c r="R59" s="6">
        <f>R58-$Q$59</f>
        <v>2864526.7705320101</v>
      </c>
      <c r="S59" s="6">
        <f>$B$20*$R$59</f>
        <v>85935.803115960298</v>
      </c>
      <c r="T59" s="6">
        <f t="shared" si="7"/>
        <v>1273457.0530299449</v>
      </c>
      <c r="U59" s="6">
        <f t="shared" si="8"/>
        <v>2998866.5937607614</v>
      </c>
      <c r="V59" s="11">
        <f>V$58*$D$56/$D$47</f>
        <v>0.1728220727505328</v>
      </c>
      <c r="W59" s="14">
        <f t="shared" si="9"/>
        <v>5184.6621825159837</v>
      </c>
      <c r="X59" s="14">
        <f t="shared" si="12"/>
        <v>119669.06981203615</v>
      </c>
      <c r="Y59" s="14">
        <f t="shared" si="13"/>
        <v>312007.69757434167</v>
      </c>
      <c r="Z59" s="14">
        <f t="shared" si="10"/>
        <v>9360.23092723025</v>
      </c>
      <c r="AA59" s="14">
        <f t="shared" si="11"/>
        <v>129029.3007392664</v>
      </c>
      <c r="AB59" s="14">
        <f>W59*(VLOOKUP(96,$A$24:$K$72,11,FALSE)-1)</f>
        <v>12366.407745888415</v>
      </c>
      <c r="AC59" s="11">
        <f>AC$58*$D$55/$D$47</f>
        <v>0.52594955137896415</v>
      </c>
      <c r="AD59" s="14">
        <f t="shared" si="14"/>
        <v>15778.486541368924</v>
      </c>
      <c r="AE59" s="14">
        <f t="shared" si="17"/>
        <v>145055.10269696056</v>
      </c>
      <c r="AF59" s="14">
        <f t="shared" si="18"/>
        <v>410228.50475903717</v>
      </c>
      <c r="AG59" s="14">
        <f t="shared" si="15"/>
        <v>12306.855142771115</v>
      </c>
      <c r="AH59" s="14">
        <f t="shared" si="16"/>
        <v>157361.95783973168</v>
      </c>
      <c r="AI59" s="14">
        <f>AD59*(VLOOKUP(95,$A$24:$K$72,11,FALSE)-1)</f>
        <v>40656.249602539145</v>
      </c>
      <c r="AJ59" s="11">
        <f>AJ$58*$D$54/$D$47</f>
        <v>1.3583268579601826</v>
      </c>
      <c r="AK59" s="14">
        <f t="shared" si="19"/>
        <v>40749.80573880548</v>
      </c>
      <c r="AL59" s="14">
        <f t="shared" si="22"/>
        <v>176532.84178874595</v>
      </c>
      <c r="AM59" s="14">
        <f t="shared" si="23"/>
        <v>543397.22536487202</v>
      </c>
      <c r="AN59" s="14">
        <f t="shared" si="20"/>
        <v>16301.91676094616</v>
      </c>
      <c r="AO59" s="14">
        <f t="shared" si="21"/>
        <v>192834.75854969211</v>
      </c>
      <c r="AP59" s="14">
        <f>AK59*(VLOOKUP(94,$A$24:$K$72,11,FALSE)-1)</f>
        <v>113783.56462894645</v>
      </c>
      <c r="AQ59" s="11">
        <f>AQ$58*$D$53/$D$47</f>
        <v>3.3763572799855202</v>
      </c>
      <c r="AR59" s="14">
        <f t="shared" si="24"/>
        <v>101290.71839956561</v>
      </c>
      <c r="AS59" s="14">
        <f t="shared" si="27"/>
        <v>239419.25645497223</v>
      </c>
      <c r="AT59" s="14">
        <f t="shared" si="28"/>
        <v>804644.02593813103</v>
      </c>
      <c r="AU59" s="14">
        <f t="shared" si="25"/>
        <v>24139.320778143931</v>
      </c>
      <c r="AV59" s="14">
        <f t="shared" si="26"/>
        <v>263558.57723311614</v>
      </c>
      <c r="AW59" s="14">
        <f>AR59*(VLOOKUP(93,$A$24:$K$72,11,FALSE)-1)</f>
        <v>307332.91467007558</v>
      </c>
      <c r="AX59" s="11">
        <f>AX$58*$D$52/$D$47</f>
        <v>7.5645136136841424</v>
      </c>
      <c r="AY59" s="14">
        <f t="shared" si="29"/>
        <v>226935.40841052428</v>
      </c>
      <c r="AZ59" s="14">
        <f t="shared" si="32"/>
        <v>334438.12858821749</v>
      </c>
      <c r="BA59" s="14">
        <f t="shared" si="33"/>
        <v>1229013.1326163886</v>
      </c>
      <c r="BB59" s="14">
        <f t="shared" si="30"/>
        <v>36870.393978491658</v>
      </c>
      <c r="BC59" s="14">
        <f t="shared" si="31"/>
        <v>371308.52256670914</v>
      </c>
      <c r="BD59" s="14">
        <f>AY59*(VLOOKUP(92,$A$24:$K$72,11,FALSE)-1)</f>
        <v>749017.32325886621</v>
      </c>
      <c r="BE59" s="11">
        <f>BE$58*$D$51/$D$47</f>
        <v>13.999387137259959</v>
      </c>
      <c r="BF59" s="14">
        <f t="shared" si="34"/>
        <v>419981.61411779874</v>
      </c>
      <c r="BG59" s="14">
        <f t="shared" si="37"/>
        <v>438126.2349901314</v>
      </c>
      <c r="BH59" s="14">
        <f t="shared" si="38"/>
        <v>1752831.2373427085</v>
      </c>
      <c r="BI59" s="14">
        <f t="shared" si="35"/>
        <v>52584.937120281254</v>
      </c>
      <c r="BJ59" s="14">
        <f t="shared" si="36"/>
        <v>490711.17211041268</v>
      </c>
      <c r="BK59" s="14">
        <f>BF59*(VLOOKUP(91,$A$24:$K$72,11,FALSE)-1)</f>
        <v>1500692.9981944466</v>
      </c>
      <c r="BL59" s="11">
        <f>BL$58*$D$50/$D$47</f>
        <v>22.208062664394824</v>
      </c>
      <c r="BM59" s="14">
        <f t="shared" si="39"/>
        <v>666241.87993184465</v>
      </c>
      <c r="BN59" s="14">
        <f t="shared" si="42"/>
        <v>551353.25855537725</v>
      </c>
      <c r="BO59" s="14">
        <f t="shared" si="43"/>
        <v>2391299.5398766627</v>
      </c>
      <c r="BP59" s="14">
        <f t="shared" si="40"/>
        <v>71738.986196299884</v>
      </c>
      <c r="BQ59" s="14">
        <f t="shared" si="41"/>
        <v>623092.24475167715</v>
      </c>
      <c r="BR59" s="14">
        <f>BM59*(VLOOKUP(90,$A$24:$K$72,11,FALSE)-1)</f>
        <v>2565591.8548826417</v>
      </c>
      <c r="BS59" s="11">
        <f>BS$58*$D$49/$D$47</f>
        <v>31.229064081336354</v>
      </c>
      <c r="BT59" s="14">
        <f t="shared" si="44"/>
        <v>936871.92244009057</v>
      </c>
      <c r="BU59" s="14">
        <f t="shared" si="47"/>
        <v>675390.29980901559</v>
      </c>
      <c r="BV59" s="14">
        <f t="shared" si="48"/>
        <v>3173900.1257339148</v>
      </c>
      <c r="BW59" s="14">
        <f t="shared" si="45"/>
        <v>95217.003772017444</v>
      </c>
      <c r="BX59" s="14">
        <f t="shared" si="46"/>
        <v>770607.30358103302</v>
      </c>
      <c r="BY59" s="14">
        <f>BT59*(VLOOKUP(89,$A$24:$K$72,11,FALSE)-1)</f>
        <v>3884985.8393452154</v>
      </c>
      <c r="BZ59" s="11">
        <f>BZ$58*$D$48/$D$47</f>
        <v>39.624151628357225</v>
      </c>
      <c r="CA59" s="14">
        <f t="shared" si="49"/>
        <v>1188724.5488507168</v>
      </c>
      <c r="CB59" s="14">
        <f t="shared" si="52"/>
        <v>806396.79809128866</v>
      </c>
      <c r="CC59" s="14">
        <f t="shared" si="53"/>
        <v>4122561.0747418888</v>
      </c>
      <c r="CD59" s="14">
        <f t="shared" si="50"/>
        <v>123676.83224225666</v>
      </c>
      <c r="CE59" s="14">
        <f t="shared" si="51"/>
        <v>930073.63033354527</v>
      </c>
      <c r="CF59" s="14">
        <f>CA59*(VLOOKUP(88,$A$24:$K$72,11,FALSE)-1)</f>
        <v>5328078.5824371995</v>
      </c>
      <c r="CG59" s="11">
        <f>CG$58*$D$47/$D$47</f>
        <v>44.890009471425898</v>
      </c>
      <c r="CH59" s="14">
        <f t="shared" si="54"/>
        <v>1346700.2841427769</v>
      </c>
      <c r="CI59" s="14">
        <f t="shared" si="57"/>
        <v>927939.55532538483</v>
      </c>
      <c r="CJ59" s="14">
        <f t="shared" si="58"/>
        <v>5154025.0794597287</v>
      </c>
      <c r="CK59" s="14">
        <f t="shared" si="55"/>
        <v>154620.75238379184</v>
      </c>
      <c r="CL59" s="14">
        <f t="shared" si="56"/>
        <v>1082560.3077091766</v>
      </c>
      <c r="CM59" s="14">
        <f>CH59*(VLOOKUP(87,$A$24:$K$72,11,FALSE)-1)</f>
        <v>6513398.1267654281</v>
      </c>
      <c r="CN59" s="11">
        <f>CN$58*$D$46/$D$47</f>
        <v>46.152227714858171</v>
      </c>
      <c r="CO59" s="14">
        <f t="shared" si="59"/>
        <v>1384566.8314457452</v>
      </c>
      <c r="CP59" s="14">
        <f t="shared" ref="CP59:CP82" si="62">CQ58/$G48</f>
        <v>1043227.3149556374</v>
      </c>
      <c r="CQ59" s="14">
        <f t="shared" ref="CQ59:CQ82" si="63">CQ58-CP59</f>
        <v>6252977.4460615832</v>
      </c>
      <c r="CR59" s="14">
        <f t="shared" si="60"/>
        <v>187589.3233818475</v>
      </c>
      <c r="CS59" s="14">
        <f t="shared" si="61"/>
        <v>1230816.638337485</v>
      </c>
      <c r="CT59" s="14">
        <f>CO59*(VLOOKUP(86,$A$24:$K$72,11,FALSE)-1)</f>
        <v>7174926.2340037767</v>
      </c>
      <c r="CU59" s="11">
        <f>($N58-$N59)+(CN58-CN59)+(CG58-CG59)+(BZ58-BZ59)+(BS58-BS59)+(BL58-BL59)+(BE58-BE59)+(AX58-AX59)+(AQ58-AQ59)+(AJ58-AJ59)+(AC58-AC59)+(V58-V59)</f>
        <v>43.773853293829127</v>
      </c>
      <c r="CV59" s="14">
        <f t="shared" ref="CV59:CV83" si="64">CU59*$B$21</f>
        <v>1313215.5988148737</v>
      </c>
      <c r="CW59" s="14">
        <f>CV$46/$G47</f>
        <v>1151957.1105120587</v>
      </c>
      <c r="CX59" s="14">
        <f>CV$46-CW59</f>
        <v>7436285.8329316024</v>
      </c>
      <c r="CY59" s="14">
        <f t="shared" ref="CY59:CY83" si="65">$B$20*CX59</f>
        <v>223088.57498794806</v>
      </c>
      <c r="CZ59" s="14">
        <f t="shared" ref="CZ59:CZ83" si="66">CW59+CY59</f>
        <v>1375045.6855000067</v>
      </c>
      <c r="DA59" s="14">
        <f>CV59*(VLOOKUP(85,$A$24:$K$72,11,FALSE)-1)</f>
        <v>7275027.3446287923</v>
      </c>
      <c r="EZ59" s="15"/>
      <c r="FA59" s="14"/>
      <c r="FB59" s="14"/>
      <c r="FD59" s="14"/>
      <c r="FE59" s="15"/>
      <c r="FF59" s="14"/>
      <c r="FG59" s="14"/>
      <c r="HR59" s="15"/>
      <c r="HS59" s="15"/>
      <c r="HT59" s="15"/>
      <c r="HU59" s="14"/>
      <c r="HV59" s="14"/>
      <c r="NC59" s="15">
        <v>13</v>
      </c>
      <c r="ND59" s="15">
        <f>N59+V59+AC59+AJ59+AQ59+AX59+BE59+BL59+BS59+BZ59+CG59+CN59+CU59</f>
        <v>300</v>
      </c>
      <c r="NE59" s="14">
        <f>P59+W59+AD59+AK59+AR59+AY59+BF59+BM59+BT59+CA59+CH59+CO59+CV59</f>
        <v>9000000</v>
      </c>
      <c r="NF59" s="14">
        <f>T59+AA59+AH59+AO59+AV59+BC59+BJ59+BQ59+BX59+CE59+CL59+CS59+CZ59</f>
        <v>8890457.1522817984</v>
      </c>
      <c r="NH59" s="14">
        <f>U59+AB59+AI59+AP59+AW59+BD59+BK59+BR59+BY59+CF59+CM59+CT59+DA59</f>
        <v>38464724.03392458</v>
      </c>
      <c r="NI59" s="14">
        <f>R59+Y59+AF59+AM59+AT59+BA59+BH59+BO59+BV59+CC59+CJ59+CQ59+CX59</f>
        <v>36447697.692932867</v>
      </c>
    </row>
    <row r="60" spans="1:373" x14ac:dyDescent="0.25">
      <c r="A60" s="1">
        <f>'CCRC F'!A60</f>
        <v>98</v>
      </c>
      <c r="B60" s="3">
        <f>'CCRC F'!B60</f>
        <v>0.2732</v>
      </c>
      <c r="D60">
        <f t="shared" si="5"/>
        <v>523.63126313109842</v>
      </c>
      <c r="E60">
        <f t="shared" si="6"/>
        <v>143.05606108741608</v>
      </c>
      <c r="F60">
        <f t="shared" si="0"/>
        <v>1695.661225203442</v>
      </c>
      <c r="G60">
        <f t="shared" si="2"/>
        <v>3.238273465690511</v>
      </c>
      <c r="I60">
        <f t="shared" si="3"/>
        <v>28.905304373856467</v>
      </c>
      <c r="J60">
        <f t="shared" si="1"/>
        <v>88.538636778322797</v>
      </c>
      <c r="K60" s="18">
        <f t="shared" si="4"/>
        <v>3.0630584488292731</v>
      </c>
      <c r="M60">
        <v>14</v>
      </c>
      <c r="N60" s="9">
        <f>$B$18*$D$60/$D$47</f>
        <v>33.613817073957158</v>
      </c>
      <c r="O60" s="6">
        <f>$B$18*$B$21*$K$60</f>
        <v>27567526.039463457</v>
      </c>
      <c r="P60" s="6">
        <f>$B$18*$B$21*$D$60/$D$47</f>
        <v>1008414.5122187147</v>
      </c>
      <c r="Q60" s="6">
        <f>R59/$G$60</f>
        <v>884584.57906092703</v>
      </c>
      <c r="R60" s="6">
        <f>R59-$Q$60</f>
        <v>1979942.1914710831</v>
      </c>
      <c r="S60" s="6">
        <f>$B$20*$R$60</f>
        <v>59398.265744132492</v>
      </c>
      <c r="T60" s="6">
        <f t="shared" si="7"/>
        <v>943982.84480505949</v>
      </c>
      <c r="U60" s="6">
        <f t="shared" si="8"/>
        <v>2080418.0793548697</v>
      </c>
      <c r="V60" s="11">
        <f>V$59*$D$57/$D$47</f>
        <v>4.339418643489875E-2</v>
      </c>
      <c r="W60" s="14">
        <f t="shared" si="9"/>
        <v>1301.8255930469625</v>
      </c>
      <c r="X60" s="14">
        <f t="shared" si="12"/>
        <v>91439.136243376837</v>
      </c>
      <c r="Y60" s="14">
        <f t="shared" si="13"/>
        <v>220568.56133096485</v>
      </c>
      <c r="Z60" s="14">
        <f t="shared" si="10"/>
        <v>6617.056839928945</v>
      </c>
      <c r="AA60" s="14">
        <f t="shared" si="11"/>
        <v>98056.193083305785</v>
      </c>
      <c r="AB60" s="14">
        <f>W60*(VLOOKUP(97,$A$24:$K$72,11,FALSE)-1)</f>
        <v>2883.8245777348702</v>
      </c>
      <c r="AC60" s="11">
        <f>AC$59*$D$56/$D$47</f>
        <v>0.16423524694890906</v>
      </c>
      <c r="AD60" s="14">
        <f t="shared" si="14"/>
        <v>4927.0574084672717</v>
      </c>
      <c r="AE60" s="14">
        <f t="shared" si="17"/>
        <v>113723.20051441708</v>
      </c>
      <c r="AF60" s="14">
        <f t="shared" si="18"/>
        <v>296505.30424462009</v>
      </c>
      <c r="AG60" s="14">
        <f t="shared" si="15"/>
        <v>8895.159127338602</v>
      </c>
      <c r="AH60" s="14">
        <f t="shared" si="16"/>
        <v>122618.35964175568</v>
      </c>
      <c r="AI60" s="14">
        <f>AD60*(VLOOKUP(96,$A$24:$K$72,11,FALSE)-1)</f>
        <v>11751.971248190139</v>
      </c>
      <c r="AJ60" s="11">
        <f>AJ$59*$D$55/$D$47</f>
        <v>0.51469109309854022</v>
      </c>
      <c r="AK60" s="14">
        <f t="shared" si="19"/>
        <v>15440.732792956207</v>
      </c>
      <c r="AL60" s="14">
        <f t="shared" si="22"/>
        <v>141950.05808233059</v>
      </c>
      <c r="AM60" s="14">
        <f t="shared" si="23"/>
        <v>401447.1672825414</v>
      </c>
      <c r="AN60" s="14">
        <f t="shared" si="20"/>
        <v>12043.415018476242</v>
      </c>
      <c r="AO60" s="14">
        <f t="shared" si="21"/>
        <v>153993.47310080685</v>
      </c>
      <c r="AP60" s="14">
        <f>AK60*(VLOOKUP(95,$A$24:$K$72,11,FALSE)-1)</f>
        <v>39785.9633007663</v>
      </c>
      <c r="AQ60" s="11">
        <f>AQ$59*$D$54/$D$47</f>
        <v>1.5181607789354337</v>
      </c>
      <c r="AR60" s="14">
        <f t="shared" si="24"/>
        <v>45544.823368063007</v>
      </c>
      <c r="AS60" s="14">
        <f t="shared" si="27"/>
        <v>197305.40924454268</v>
      </c>
      <c r="AT60" s="14">
        <f t="shared" si="28"/>
        <v>607338.61669358832</v>
      </c>
      <c r="AU60" s="14">
        <f t="shared" si="25"/>
        <v>18220.158500807647</v>
      </c>
      <c r="AV60" s="14">
        <f t="shared" si="26"/>
        <v>215525.56774535033</v>
      </c>
      <c r="AW60" s="14">
        <f>AR60*(VLOOKUP(94,$A$24:$K$72,11,FALSE)-1)</f>
        <v>127172.4431382739</v>
      </c>
      <c r="AX60" s="11">
        <f>AX$59*$D$53/$D$47</f>
        <v>3.9744596974963544</v>
      </c>
      <c r="AY60" s="14">
        <f t="shared" si="29"/>
        <v>119233.79092489064</v>
      </c>
      <c r="AZ60" s="14">
        <f t="shared" si="32"/>
        <v>281831.0109612908</v>
      </c>
      <c r="BA60" s="14">
        <f t="shared" si="33"/>
        <v>947182.12165509781</v>
      </c>
      <c r="BB60" s="14">
        <f t="shared" si="30"/>
        <v>28415.463649652935</v>
      </c>
      <c r="BC60" s="14">
        <f t="shared" si="31"/>
        <v>310246.47461094375</v>
      </c>
      <c r="BD60" s="14">
        <f>AY60*(VLOOKUP(93,$A$24:$K$72,11,FALSE)-1)</f>
        <v>361775.18602993933</v>
      </c>
      <c r="BE60" s="11">
        <f>BE$59*$D$52/$D$47</f>
        <v>8.4807989135227224</v>
      </c>
      <c r="BF60" s="14">
        <f t="shared" si="34"/>
        <v>254423.96740568167</v>
      </c>
      <c r="BG60" s="14">
        <f t="shared" si="37"/>
        <v>374948.43190455448</v>
      </c>
      <c r="BH60" s="14">
        <f t="shared" si="38"/>
        <v>1377882.8054381539</v>
      </c>
      <c r="BI60" s="14">
        <f t="shared" si="35"/>
        <v>41336.484163144618</v>
      </c>
      <c r="BJ60" s="14">
        <f t="shared" si="36"/>
        <v>416284.91606769909</v>
      </c>
      <c r="BK60" s="14">
        <f>BF60*(VLOOKUP(92,$A$24:$K$72,11,FALSE)-1)</f>
        <v>839745.3723676689</v>
      </c>
      <c r="BL60" s="11">
        <f>BL$59*$D$51/$D$47</f>
        <v>15.279496951732412</v>
      </c>
      <c r="BM60" s="14">
        <f t="shared" si="39"/>
        <v>458384.90855197236</v>
      </c>
      <c r="BN60" s="14">
        <f t="shared" si="42"/>
        <v>478188.68114507862</v>
      </c>
      <c r="BO60" s="14">
        <f t="shared" si="43"/>
        <v>1913110.8587315842</v>
      </c>
      <c r="BP60" s="14">
        <f t="shared" si="40"/>
        <v>57393.325761947526</v>
      </c>
      <c r="BQ60" s="14">
        <f t="shared" si="41"/>
        <v>535582.00690702617</v>
      </c>
      <c r="BR60" s="14">
        <f>BM60*(VLOOKUP(91,$A$24:$K$72,11,FALSE)-1)</f>
        <v>1637916.9935496321</v>
      </c>
      <c r="BS60" s="11">
        <f>BS$59*$D$50/$D$47</f>
        <v>23.953275398438844</v>
      </c>
      <c r="BT60" s="14">
        <f t="shared" si="44"/>
        <v>718598.26195316529</v>
      </c>
      <c r="BU60" s="14">
        <f t="shared" si="47"/>
        <v>594681.15898183838</v>
      </c>
      <c r="BV60" s="14">
        <f t="shared" si="48"/>
        <v>2579218.9667520765</v>
      </c>
      <c r="BW60" s="14">
        <f t="shared" si="45"/>
        <v>77376.56900256229</v>
      </c>
      <c r="BX60" s="14">
        <f t="shared" si="46"/>
        <v>672057.7279844007</v>
      </c>
      <c r="BY60" s="14">
        <f>BT60*(VLOOKUP(90,$A$24:$K$72,11,FALSE)-1)</f>
        <v>2767207.9815643891</v>
      </c>
      <c r="BZ60" s="11">
        <f>BZ$59*$D$49/$D$47</f>
        <v>33.446092590994461</v>
      </c>
      <c r="CA60" s="14">
        <f t="shared" si="49"/>
        <v>1003382.7777298338</v>
      </c>
      <c r="CB60" s="14">
        <f t="shared" si="52"/>
        <v>723337.92788788595</v>
      </c>
      <c r="CC60" s="14">
        <f t="shared" si="53"/>
        <v>3399223.146854003</v>
      </c>
      <c r="CD60" s="14">
        <f t="shared" si="50"/>
        <v>101976.69440562009</v>
      </c>
      <c r="CE60" s="14">
        <f t="shared" si="51"/>
        <v>825314.62229350605</v>
      </c>
      <c r="CF60" s="14">
        <f>CA60*(VLOOKUP(89,$A$24:$K$72,11,FALSE)-1)</f>
        <v>4160790.5942688156</v>
      </c>
      <c r="CG60" s="11">
        <f>CG$59*$D$48/$D$47</f>
        <v>41.433478742126098</v>
      </c>
      <c r="CH60" s="14">
        <f t="shared" si="54"/>
        <v>1243004.3622637829</v>
      </c>
      <c r="CI60" s="14">
        <f t="shared" si="57"/>
        <v>843218.67392417707</v>
      </c>
      <c r="CJ60" s="14">
        <f t="shared" si="58"/>
        <v>4310806.4055355517</v>
      </c>
      <c r="CK60" s="14">
        <f t="shared" si="55"/>
        <v>129324.19216606655</v>
      </c>
      <c r="CL60" s="14">
        <f t="shared" si="56"/>
        <v>972542.86609024368</v>
      </c>
      <c r="CM60" s="14">
        <f>CH60*(VLOOKUP(88,$A$24:$K$72,11,FALSE)-1)</f>
        <v>5571370.5305882292</v>
      </c>
      <c r="CN60" s="11">
        <f>CN$59*$D$47/$D$47</f>
        <v>46.152227714858171</v>
      </c>
      <c r="CO60" s="14">
        <f t="shared" si="59"/>
        <v>1384566.8314457452</v>
      </c>
      <c r="CP60" s="14">
        <f t="shared" si="62"/>
        <v>954031.3795269304</v>
      </c>
      <c r="CQ60" s="14">
        <f t="shared" si="63"/>
        <v>5298946.0665346533</v>
      </c>
      <c r="CR60" s="14">
        <f t="shared" si="60"/>
        <v>158968.38199603959</v>
      </c>
      <c r="CS60" s="14">
        <f t="shared" si="61"/>
        <v>1112999.7615229699</v>
      </c>
      <c r="CT60" s="14">
        <f>CO60*(VLOOKUP(87,$A$24:$K$72,11,FALSE)-1)</f>
        <v>6696541.9941681325</v>
      </c>
      <c r="CU60" s="11">
        <f>CU$59*$D$46/$D$47</f>
        <v>47.038312157564071</v>
      </c>
      <c r="CV60" s="14">
        <f t="shared" si="64"/>
        <v>1411149.3647269222</v>
      </c>
      <c r="CW60" s="14">
        <f t="shared" ref="CW60:CW83" si="67">CX59/$G48</f>
        <v>1063256.41300263</v>
      </c>
      <c r="CX60" s="14">
        <f t="shared" ref="CX60:CX83" si="68">CX59-CW60</f>
        <v>6373029.4199289726</v>
      </c>
      <c r="CY60" s="14">
        <f t="shared" si="65"/>
        <v>191190.88259786917</v>
      </c>
      <c r="CZ60" s="14">
        <f t="shared" si="66"/>
        <v>1254447.2956004993</v>
      </c>
      <c r="DA60" s="14">
        <f>CV60*(VLOOKUP(86,$A$24:$K$72,11,FALSE)-1)</f>
        <v>7312678.8589213043</v>
      </c>
      <c r="DB60" s="11">
        <f>($N59-$N60)+(CU59-CU60)+(CN59-CN60)+(CG59-CG60)+(BZ59-BZ60)+(BS59-BS60)+(BL59-BL60)+(BE59-BE60)+(AX59-AX60)+(AQ59-AQ60)+(AJ59-AJ60)+(AC59-AC60)+(V59-V60)</f>
        <v>44.387559453891932</v>
      </c>
      <c r="DC60" s="14">
        <f t="shared" ref="DC60:DC84" si="69">DB60*$B$21</f>
        <v>1331626.783616758</v>
      </c>
      <c r="DD60" s="14">
        <f>DC$46/$G47</f>
        <v>1168107.4633289322</v>
      </c>
      <c r="DE60" s="14">
        <f>DC$46-DD60</f>
        <v>7540542.0059722615</v>
      </c>
      <c r="DF60" s="14">
        <f t="shared" ref="DF60:DF84" si="70">$B$20*DE60</f>
        <v>226216.26017916785</v>
      </c>
      <c r="DG60" s="14">
        <f t="shared" ref="DG60:DG84" si="71">DD60+DF60</f>
        <v>1394323.7235081</v>
      </c>
      <c r="DH60" s="14">
        <f>DC60*(VLOOKUP(85,$A$24:$K$72,11,FALSE)-1)</f>
        <v>7377022.6856844416</v>
      </c>
      <c r="EZ60" s="15"/>
      <c r="FA60" s="14"/>
      <c r="FB60" s="14"/>
      <c r="FD60" s="14"/>
      <c r="FE60" s="15"/>
      <c r="FF60" s="14"/>
      <c r="FG60" s="14"/>
      <c r="HR60" s="15"/>
      <c r="HS60" s="15"/>
      <c r="HT60" s="15"/>
      <c r="HU60" s="14"/>
      <c r="HV60" s="14"/>
      <c r="NC60" s="15">
        <v>14</v>
      </c>
      <c r="ND60" s="15">
        <f>N60+V60+AC60+AJ60+AQ60+AX60+BE60+BL60+BS60+BZ60+CG60+CN60+CU60+DB60</f>
        <v>300</v>
      </c>
      <c r="NE60" s="14">
        <f>P60+W60+AD60+AK60+AR60+AY60+BF60+BM60+BT60+CA60+CH60+CO60+CV60+DC60</f>
        <v>9000000</v>
      </c>
      <c r="NF60" s="14">
        <f>T60+AA60+AH60+AO60+AV60+BC60+BJ60+BQ60+BX60+CE60+CL60+CS60+CZ60+DG60</f>
        <v>9027975.8329616673</v>
      </c>
      <c r="NH60" s="14">
        <f>U60+AB60+AI60+AP60+AW60+BD60+BK60+BR60+BY60+CF60+CM60+CT60+DA60+DH60</f>
        <v>38987062.478762388</v>
      </c>
      <c r="NI60" s="14">
        <f>R60+Y60+AF60+AM60+AT60+BA60+BH60+BO60+BV60+CC60+CJ60+CQ60+CX60+DE60</f>
        <v>37245743.638425149</v>
      </c>
    </row>
    <row r="61" spans="1:373" x14ac:dyDescent="0.25">
      <c r="A61" s="1">
        <f>'CCRC F'!A61</f>
        <v>99</v>
      </c>
      <c r="B61" s="3">
        <f>'CCRC F'!B61</f>
        <v>0.28960000000000002</v>
      </c>
      <c r="D61">
        <f t="shared" si="5"/>
        <v>380.57520204368234</v>
      </c>
      <c r="E61">
        <f t="shared" si="6"/>
        <v>110.21457851185042</v>
      </c>
      <c r="F61">
        <f t="shared" si="0"/>
        <v>1172.0299620723436</v>
      </c>
      <c r="G61">
        <f t="shared" si="2"/>
        <v>3.0796277733771475</v>
      </c>
      <c r="I61">
        <f t="shared" si="3"/>
        <v>20.396480795066878</v>
      </c>
      <c r="J61">
        <f t="shared" si="1"/>
        <v>59.633332404466337</v>
      </c>
      <c r="K61" s="18">
        <f t="shared" si="4"/>
        <v>2.9237069376639395</v>
      </c>
      <c r="M61">
        <v>15</v>
      </c>
      <c r="N61" s="9">
        <f>$B$18*$D$61/$D$47</f>
        <v>24.430522249352059</v>
      </c>
      <c r="O61" s="6">
        <f>$B$18*$B$21*$K$61</f>
        <v>26313362.438975457</v>
      </c>
      <c r="P61" s="6">
        <f>$B$18*$B$21*$D$61/$D$47</f>
        <v>732915.66748056188</v>
      </c>
      <c r="Q61" s="6">
        <f>R60/$G$61</f>
        <v>642916.07206148189</v>
      </c>
      <c r="R61" s="6">
        <f>R60-$Q$61</f>
        <v>1337026.1194096012</v>
      </c>
      <c r="S61" s="6">
        <f>$B$20*$R$61</f>
        <v>40110.783582288037</v>
      </c>
      <c r="T61" s="6">
        <f t="shared" si="7"/>
        <v>683026.85564376996</v>
      </c>
      <c r="U61" s="6">
        <f t="shared" si="8"/>
        <v>1409914.9542549539</v>
      </c>
      <c r="V61" s="11">
        <f>V$60*$D$58/$D$47</f>
        <v>8.5424009961210298E-3</v>
      </c>
      <c r="W61" s="14">
        <f t="shared" si="9"/>
        <v>256.27202988363086</v>
      </c>
      <c r="X61" s="14">
        <f t="shared" si="12"/>
        <v>68113.01258769141</v>
      </c>
      <c r="Y61" s="14">
        <f t="shared" si="13"/>
        <v>152455.54874327342</v>
      </c>
      <c r="Z61" s="14">
        <f t="shared" si="10"/>
        <v>4573.6664622982025</v>
      </c>
      <c r="AA61" s="14">
        <f t="shared" si="11"/>
        <v>72686.679049989616</v>
      </c>
      <c r="AB61" s="14">
        <f>W61*(VLOOKUP(98,$A$24:$K$72,11,FALSE)-1)</f>
        <v>528.70417645005261</v>
      </c>
      <c r="AC61" s="11">
        <f>AC$60*$D$57/$D$47</f>
        <v>4.1238105826737481E-2</v>
      </c>
      <c r="AD61" s="14">
        <f t="shared" si="14"/>
        <v>1237.1431748021243</v>
      </c>
      <c r="AE61" s="14">
        <f t="shared" si="17"/>
        <v>86895.897513066098</v>
      </c>
      <c r="AF61" s="14">
        <f t="shared" si="18"/>
        <v>209609.40673155399</v>
      </c>
      <c r="AG61" s="14">
        <f t="shared" si="15"/>
        <v>6288.2822019466194</v>
      </c>
      <c r="AH61" s="14">
        <f t="shared" si="16"/>
        <v>93184.179715012724</v>
      </c>
      <c r="AI61" s="14">
        <f>AD61*(VLOOKUP(97,$A$24:$K$72,11,FALSE)-1)</f>
        <v>2740.5390650839745</v>
      </c>
      <c r="AJ61" s="11">
        <f>AJ$60*$D$56/$D$47</f>
        <v>0.16071963281614385</v>
      </c>
      <c r="AK61" s="14">
        <f t="shared" si="19"/>
        <v>4821.588984484315</v>
      </c>
      <c r="AL61" s="14">
        <f t="shared" si="22"/>
        <v>111288.84553654717</v>
      </c>
      <c r="AM61" s="14">
        <f t="shared" si="23"/>
        <v>290158.32174599421</v>
      </c>
      <c r="AN61" s="14">
        <f t="shared" si="20"/>
        <v>8704.7496523798254</v>
      </c>
      <c r="AO61" s="14">
        <f t="shared" si="21"/>
        <v>119993.59518892699</v>
      </c>
      <c r="AP61" s="14">
        <f>AK61*(VLOOKUP(96,$A$24:$K$72,11,FALSE)-1)</f>
        <v>11500.408949746125</v>
      </c>
      <c r="AQ61" s="11">
        <f>AQ$60*$D$55/$D$47</f>
        <v>0.57525464230533141</v>
      </c>
      <c r="AR61" s="14">
        <f t="shared" si="24"/>
        <v>17257.639269159943</v>
      </c>
      <c r="AS61" s="14">
        <f t="shared" si="27"/>
        <v>158653.27957353671</v>
      </c>
      <c r="AT61" s="14">
        <f t="shared" si="28"/>
        <v>448685.33712005161</v>
      </c>
      <c r="AU61" s="14">
        <f t="shared" si="25"/>
        <v>13460.560113601548</v>
      </c>
      <c r="AV61" s="14">
        <f t="shared" si="26"/>
        <v>172113.83968713827</v>
      </c>
      <c r="AW61" s="14">
        <f>AR61*(VLOOKUP(95,$A$24:$K$72,11,FALSE)-1)</f>
        <v>44467.565874456501</v>
      </c>
      <c r="AX61" s="11">
        <f>AX$60*$D$54/$D$47</f>
        <v>1.7870942941869086</v>
      </c>
      <c r="AY61" s="14">
        <f t="shared" si="29"/>
        <v>53612.828825607256</v>
      </c>
      <c r="AZ61" s="14">
        <f t="shared" si="32"/>
        <v>232256.93613319981</v>
      </c>
      <c r="BA61" s="14">
        <f t="shared" si="33"/>
        <v>714925.18552189798</v>
      </c>
      <c r="BB61" s="14">
        <f t="shared" si="30"/>
        <v>21447.755565656938</v>
      </c>
      <c r="BC61" s="14">
        <f t="shared" si="31"/>
        <v>253704.69169885674</v>
      </c>
      <c r="BD61" s="14">
        <f>AY61*(VLOOKUP(94,$A$24:$K$72,11,FALSE)-1)</f>
        <v>149700.31544984604</v>
      </c>
      <c r="BE61" s="11">
        <f>BE$60*$D$53/$D$47</f>
        <v>4.4558837759762877</v>
      </c>
      <c r="BF61" s="14">
        <f t="shared" si="34"/>
        <v>133676.51327928863</v>
      </c>
      <c r="BG61" s="14">
        <f t="shared" si="37"/>
        <v>315969.04356596799</v>
      </c>
      <c r="BH61" s="14">
        <f t="shared" si="38"/>
        <v>1061913.7618721859</v>
      </c>
      <c r="BI61" s="14">
        <f t="shared" si="35"/>
        <v>31857.412856165574</v>
      </c>
      <c r="BJ61" s="14">
        <f t="shared" si="36"/>
        <v>347826.45642213355</v>
      </c>
      <c r="BK61" s="14">
        <f>BF61*(VLOOKUP(93,$A$24:$K$72,11,FALSE)-1)</f>
        <v>405596.81181245355</v>
      </c>
      <c r="BL61" s="11">
        <f>BL$60*$D$52/$D$47</f>
        <v>9.256286712904533</v>
      </c>
      <c r="BM61" s="14">
        <f t="shared" si="39"/>
        <v>277688.60138713598</v>
      </c>
      <c r="BN61" s="14">
        <f t="shared" si="42"/>
        <v>409233.87332395831</v>
      </c>
      <c r="BO61" s="14">
        <f t="shared" si="43"/>
        <v>1503876.9854076258</v>
      </c>
      <c r="BP61" s="14">
        <f t="shared" si="40"/>
        <v>45116.309562228773</v>
      </c>
      <c r="BQ61" s="14">
        <f t="shared" si="41"/>
        <v>454350.1828861871</v>
      </c>
      <c r="BR61" s="14">
        <f>BM61*(VLOOKUP(92,$A$24:$K$72,11,FALSE)-1)</f>
        <v>916532.04040434374</v>
      </c>
      <c r="BS61" s="11">
        <f>BS$60*$D$51/$D$47</f>
        <v>16.480230804699357</v>
      </c>
      <c r="BT61" s="14">
        <f t="shared" si="44"/>
        <v>494406.9241409807</v>
      </c>
      <c r="BU61" s="14">
        <f t="shared" si="47"/>
        <v>515766.96918494836</v>
      </c>
      <c r="BV61" s="14">
        <f t="shared" si="48"/>
        <v>2063451.9975671282</v>
      </c>
      <c r="BW61" s="14">
        <f t="shared" si="45"/>
        <v>61903.559927013841</v>
      </c>
      <c r="BX61" s="14">
        <f t="shared" si="46"/>
        <v>577670.52911196218</v>
      </c>
      <c r="BY61" s="14">
        <f>BT61*(VLOOKUP(91,$A$24:$K$72,11,FALSE)-1)</f>
        <v>1766632.1200173197</v>
      </c>
      <c r="BZ61" s="11">
        <f>BZ$60*$D$50/$D$47</f>
        <v>25.653777671568719</v>
      </c>
      <c r="CA61" s="14">
        <f t="shared" si="49"/>
        <v>769613.33014706161</v>
      </c>
      <c r="CB61" s="14">
        <f t="shared" si="52"/>
        <v>636899.04550528363</v>
      </c>
      <c r="CC61" s="14">
        <f t="shared" si="53"/>
        <v>2762324.1013487196</v>
      </c>
      <c r="CD61" s="14">
        <f t="shared" si="50"/>
        <v>82869.723040461584</v>
      </c>
      <c r="CE61" s="14">
        <f t="shared" si="51"/>
        <v>719768.76854574517</v>
      </c>
      <c r="CF61" s="14">
        <f>CA61*(VLOOKUP(90,$A$24:$K$72,11,FALSE)-1)</f>
        <v>2963658.9213460973</v>
      </c>
      <c r="CG61" s="11">
        <f>CG$60*$D$49/$D$47</f>
        <v>34.97331575382939</v>
      </c>
      <c r="CH61" s="14">
        <f t="shared" si="54"/>
        <v>1049199.4726148816</v>
      </c>
      <c r="CI61" s="14">
        <f t="shared" si="57"/>
        <v>756367.15050998691</v>
      </c>
      <c r="CJ61" s="14">
        <f t="shared" si="58"/>
        <v>3554439.2550255647</v>
      </c>
      <c r="CK61" s="14">
        <f t="shared" si="55"/>
        <v>106633.17765076694</v>
      </c>
      <c r="CL61" s="14">
        <f t="shared" si="56"/>
        <v>863000.32816075382</v>
      </c>
      <c r="CM61" s="14">
        <f>CH61*(VLOOKUP(89,$A$24:$K$72,11,FALSE)-1)</f>
        <v>4350781.5701648761</v>
      </c>
      <c r="CN61" s="11">
        <f>CN$60*$D$48/$D$47</f>
        <v>42.598506180814091</v>
      </c>
      <c r="CO61" s="14">
        <f t="shared" si="59"/>
        <v>1277955.1854244228</v>
      </c>
      <c r="CP61" s="14">
        <f t="shared" si="62"/>
        <v>866928.31457612175</v>
      </c>
      <c r="CQ61" s="14">
        <f t="shared" si="63"/>
        <v>4432017.7519585313</v>
      </c>
      <c r="CR61" s="14">
        <f t="shared" si="60"/>
        <v>132960.53255875595</v>
      </c>
      <c r="CS61" s="14">
        <f t="shared" si="61"/>
        <v>999888.84713487769</v>
      </c>
      <c r="CT61" s="14">
        <f>CO61*(VLOOKUP(88,$A$24:$K$72,11,FALSE)-1)</f>
        <v>5728026.4459563419</v>
      </c>
      <c r="CU61" s="11">
        <f>CU$60*$D$47/$D$47</f>
        <v>47.038312157564071</v>
      </c>
      <c r="CV61" s="14">
        <f t="shared" si="64"/>
        <v>1411149.3647269222</v>
      </c>
      <c r="CW61" s="14">
        <f t="shared" si="67"/>
        <v>972347.9896909052</v>
      </c>
      <c r="CX61" s="14">
        <f t="shared" si="68"/>
        <v>5400681.4302380672</v>
      </c>
      <c r="CY61" s="14">
        <f t="shared" si="65"/>
        <v>162020.44290714202</v>
      </c>
      <c r="CZ61" s="14">
        <f t="shared" si="66"/>
        <v>1134368.4325980472</v>
      </c>
      <c r="DA61" s="14">
        <f>CV61*(VLOOKUP(87,$A$24:$K$72,11,FALSE)-1)</f>
        <v>6825110.0389788672</v>
      </c>
      <c r="DB61" s="11">
        <f>DB$60*$D$46/$D$47</f>
        <v>47.697785787547737</v>
      </c>
      <c r="DC61" s="14">
        <f t="shared" si="69"/>
        <v>1430933.5736264321</v>
      </c>
      <c r="DD61" s="14">
        <f t="shared" ref="DD61:DD84" si="72">DE60/$G48</f>
        <v>1078163.1886526041</v>
      </c>
      <c r="DE61" s="14">
        <f t="shared" ref="DE61:DE84" si="73">DE60-DD61</f>
        <v>6462378.8173196577</v>
      </c>
      <c r="DF61" s="14">
        <f t="shared" si="70"/>
        <v>193871.36451958973</v>
      </c>
      <c r="DG61" s="14">
        <f t="shared" si="71"/>
        <v>1272034.5531721939</v>
      </c>
      <c r="DH61" s="14">
        <f>DC61*(VLOOKUP(86,$A$24:$K$72,11,FALSE)-1)</f>
        <v>7415202.0714006051</v>
      </c>
      <c r="DI61" s="11">
        <f>($N60-$N61)+(DB60-DB61)+(CU60-CU61)+(CN60-CN61)+(CG60-CG61)+(BZ60-BZ61)+(BS60-BS61)+(BL60-BL61)+(BE60-BE61)+(AX60-AX61)+(AQ60-AQ61)+(AJ60-AJ61)+(AC60-AC61)+(V60-V61)</f>
        <v>44.842529829612516</v>
      </c>
      <c r="DJ61" s="14">
        <f t="shared" ref="DJ61:DJ85" si="74">DI61*$B$21</f>
        <v>1345275.8948883754</v>
      </c>
      <c r="DK61" s="14">
        <f>DJ$46/$G47</f>
        <v>1180080.5093357724</v>
      </c>
      <c r="DL61" s="14">
        <f>DJ$46-DK61</f>
        <v>7617832.2033114033</v>
      </c>
      <c r="DM61" s="14">
        <f t="shared" ref="DM61:DM85" si="75">$B$20*DL61</f>
        <v>228534.9660993421</v>
      </c>
      <c r="DN61" s="14">
        <f t="shared" ref="DN61:DN85" si="76">DK61+DM61</f>
        <v>1408615.4754351145</v>
      </c>
      <c r="DO61" s="14">
        <f>DJ61*(VLOOKUP(85,$A$24:$K$72,11,FALSE)-1)</f>
        <v>7452636.8177588023</v>
      </c>
      <c r="EZ61" s="15"/>
      <c r="FA61" s="14"/>
      <c r="FB61" s="14"/>
      <c r="FD61" s="14"/>
      <c r="FE61" s="15"/>
      <c r="FF61" s="14"/>
      <c r="FG61" s="14"/>
      <c r="HR61" s="15"/>
      <c r="HS61" s="15"/>
      <c r="HT61" s="15"/>
      <c r="HU61" s="14"/>
      <c r="HV61" s="14"/>
      <c r="NC61" s="15">
        <v>15</v>
      </c>
      <c r="ND61" s="15">
        <f>N61+V61+AC61+AJ61+AQ61+AX61+BE61+BL61+BS61+BZ61+CG61+CN61+CU61+DB61+DI61</f>
        <v>300</v>
      </c>
      <c r="NE61" s="14">
        <f>P61+W61+AD61+AK61+AR61+AY61+BF61+BM61+BT61+CA61+CH61+CO61+CV61+DC61+DJ61</f>
        <v>9000000</v>
      </c>
      <c r="NF61" s="14">
        <f>T61+AA61+AH61+AO61+AV61+BC61+BJ61+BQ61+BX61+CE61+CL61+CS61+CZ61+DG61+DN61</f>
        <v>9172233.4144507088</v>
      </c>
      <c r="NH61" s="14">
        <f>U61+AB61+AI61+AP61+AW61+BD61+BK61+BR61+BY61+CF61+CM61+CT61+DA61+DH61+DO61</f>
        <v>39443029.325610243</v>
      </c>
      <c r="NI61" s="14">
        <f>R61+Y61+AF61+AM61+AT61+BA61+BH61+BO61+BV61+CC61+CJ61+CQ61+CX61+DE61+DL61</f>
        <v>38011776.223321259</v>
      </c>
    </row>
    <row r="62" spans="1:373" x14ac:dyDescent="0.25">
      <c r="A62" s="1">
        <f>'CCRC F'!A62</f>
        <v>100</v>
      </c>
      <c r="B62" s="3">
        <f>'CCRC F'!B62</f>
        <v>0.307</v>
      </c>
      <c r="D62">
        <f t="shared" si="5"/>
        <v>270.36062353183195</v>
      </c>
      <c r="E62">
        <f t="shared" si="6"/>
        <v>83.00071142427241</v>
      </c>
      <c r="F62">
        <f t="shared" si="0"/>
        <v>791.45476002866133</v>
      </c>
      <c r="G62">
        <f t="shared" si="2"/>
        <v>2.927403960271886</v>
      </c>
      <c r="I62">
        <f t="shared" si="3"/>
        <v>14.067631026034475</v>
      </c>
      <c r="J62">
        <f t="shared" si="1"/>
        <v>39.236851609399459</v>
      </c>
      <c r="K62" s="18">
        <f t="shared" si="4"/>
        <v>2.7891584259485613</v>
      </c>
      <c r="M62">
        <v>16</v>
      </c>
      <c r="N62" s="9">
        <f>$B$18*$D$62/$D$47</f>
        <v>17.355443005939705</v>
      </c>
      <c r="O62" s="6">
        <f>$B$18*$B$21*$K$62</f>
        <v>25102425.833537053</v>
      </c>
      <c r="P62" s="6">
        <f>$B$18*$B$21*$D$62/$D$47</f>
        <v>520663.29017819115</v>
      </c>
      <c r="Q62" s="6">
        <f>R61/$G$62</f>
        <v>456727.57759247662</v>
      </c>
      <c r="R62" s="6">
        <f>R61-$Q$62</f>
        <v>880298.54181712458</v>
      </c>
      <c r="S62" s="6">
        <f>$B$20*$R$62</f>
        <v>26408.956254513738</v>
      </c>
      <c r="T62" s="6">
        <f t="shared" si="7"/>
        <v>483136.53384699038</v>
      </c>
      <c r="U62" s="6">
        <f t="shared" si="8"/>
        <v>931549.1127044115</v>
      </c>
      <c r="V62" s="11">
        <f>V$61*$D$59/$D$47</f>
        <v>1.2849273032442907E-3</v>
      </c>
      <c r="W62" s="14">
        <f t="shared" si="9"/>
        <v>38.54781909732872</v>
      </c>
      <c r="X62" s="14">
        <f t="shared" si="12"/>
        <v>49504.537548734108</v>
      </c>
      <c r="Y62" s="14">
        <f t="shared" si="13"/>
        <v>102951.01119453931</v>
      </c>
      <c r="Z62" s="14">
        <f t="shared" si="10"/>
        <v>3088.5303358361793</v>
      </c>
      <c r="AA62" s="14">
        <f t="shared" si="11"/>
        <v>52593.067884570286</v>
      </c>
      <c r="AB62" s="14">
        <f>W62*(VLOOKUP(99,$A$24:$K$72,11,FALSE)-1)</f>
        <v>74.154707029345758</v>
      </c>
      <c r="AC62" s="11">
        <f>AC$61*$D$58/$D$47</f>
        <v>8.117963838795695E-3</v>
      </c>
      <c r="AD62" s="14">
        <f t="shared" si="14"/>
        <v>243.53891516387085</v>
      </c>
      <c r="AE62" s="14">
        <f t="shared" si="17"/>
        <v>64728.754057482933</v>
      </c>
      <c r="AF62" s="14">
        <f t="shared" si="18"/>
        <v>144880.65267407105</v>
      </c>
      <c r="AG62" s="14">
        <f t="shared" si="15"/>
        <v>4346.4195802221311</v>
      </c>
      <c r="AH62" s="14">
        <f t="shared" si="16"/>
        <v>69075.173637705069</v>
      </c>
      <c r="AI62" s="14">
        <f>AD62*(VLOOKUP(98,$A$24:$K$72,11,FALSE)-1)</f>
        <v>502.43501654753936</v>
      </c>
      <c r="AJ62" s="11">
        <f>AJ$61*$D$57/$D$47</f>
        <v>4.0355364330339663E-2</v>
      </c>
      <c r="AK62" s="14">
        <f t="shared" si="19"/>
        <v>1210.6609299101899</v>
      </c>
      <c r="AL62" s="14">
        <f t="shared" si="22"/>
        <v>85035.806874475689</v>
      </c>
      <c r="AM62" s="14">
        <f t="shared" si="23"/>
        <v>205122.51487151854</v>
      </c>
      <c r="AN62" s="14">
        <f t="shared" si="20"/>
        <v>6153.6754461455557</v>
      </c>
      <c r="AO62" s="14">
        <f t="shared" si="21"/>
        <v>91189.482320621246</v>
      </c>
      <c r="AP62" s="14">
        <f>AK62*(VLOOKUP(97,$A$24:$K$72,11,FALSE)-1)</f>
        <v>2681.8751786917828</v>
      </c>
      <c r="AQ62" s="11">
        <f>AQ$61*$D$56/$D$47</f>
        <v>0.17963146463347501</v>
      </c>
      <c r="AR62" s="14">
        <f t="shared" si="24"/>
        <v>5388.9439390042508</v>
      </c>
      <c r="AS62" s="14">
        <f t="shared" si="27"/>
        <v>124384.17118565278</v>
      </c>
      <c r="AT62" s="14">
        <f t="shared" si="28"/>
        <v>324301.16593439883</v>
      </c>
      <c r="AU62" s="14">
        <f t="shared" si="25"/>
        <v>9729.0349780319648</v>
      </c>
      <c r="AV62" s="14">
        <f t="shared" si="26"/>
        <v>134113.20616368475</v>
      </c>
      <c r="AW62" s="14">
        <f>AR62*(VLOOKUP(96,$A$24:$K$72,11,FALSE)-1)</f>
        <v>12853.658680828652</v>
      </c>
      <c r="AX62" s="11">
        <f>AX$61*$D$55/$D$47</f>
        <v>0.67715771822880844</v>
      </c>
      <c r="AY62" s="14">
        <f t="shared" si="29"/>
        <v>20314.731546864252</v>
      </c>
      <c r="AZ62" s="14">
        <f t="shared" si="32"/>
        <v>186757.80234470591</v>
      </c>
      <c r="BA62" s="14">
        <f t="shared" si="33"/>
        <v>528167.38317719207</v>
      </c>
      <c r="BB62" s="14">
        <f t="shared" si="30"/>
        <v>15845.021495315761</v>
      </c>
      <c r="BC62" s="14">
        <f t="shared" si="31"/>
        <v>202602.82384002168</v>
      </c>
      <c r="BD62" s="14">
        <f>AY62*(VLOOKUP(95,$A$24:$K$72,11,FALSE)-1)</f>
        <v>52344.74131675707</v>
      </c>
      <c r="BE62" s="11">
        <f>BE$61*$D$54/$D$47</f>
        <v>2.0035640257274352</v>
      </c>
      <c r="BF62" s="14">
        <f t="shared" si="34"/>
        <v>60106.920771823054</v>
      </c>
      <c r="BG62" s="14">
        <f t="shared" si="37"/>
        <v>260390.08880271428</v>
      </c>
      <c r="BH62" s="14">
        <f t="shared" si="38"/>
        <v>801523.67306947161</v>
      </c>
      <c r="BI62" s="14">
        <f t="shared" si="35"/>
        <v>24045.710192084149</v>
      </c>
      <c r="BJ62" s="14">
        <f t="shared" si="36"/>
        <v>284435.79899479845</v>
      </c>
      <c r="BK62" s="14">
        <f>BF62*(VLOOKUP(94,$A$24:$K$72,11,FALSE)-1)</f>
        <v>167833.43086651416</v>
      </c>
      <c r="BL62" s="11">
        <f>BL$61*$D$53/$D$47</f>
        <v>4.8633316519332519</v>
      </c>
      <c r="BM62" s="14">
        <f t="shared" si="39"/>
        <v>145899.94955799755</v>
      </c>
      <c r="BN62" s="14">
        <f t="shared" si="42"/>
        <v>344861.38505009963</v>
      </c>
      <c r="BO62" s="14">
        <f t="shared" si="43"/>
        <v>1159015.6003575262</v>
      </c>
      <c r="BP62" s="14">
        <f t="shared" si="40"/>
        <v>34770.468010725788</v>
      </c>
      <c r="BQ62" s="14">
        <f t="shared" si="41"/>
        <v>379631.85306082544</v>
      </c>
      <c r="BR62" s="14">
        <f>BM62*(VLOOKUP(93,$A$24:$K$72,11,FALSE)-1)</f>
        <v>442684.75390800164</v>
      </c>
      <c r="BS62" s="11">
        <f>BS$61*$D$52/$D$47</f>
        <v>9.9836887238517882</v>
      </c>
      <c r="BT62" s="14">
        <f t="shared" si="44"/>
        <v>299510.66171555367</v>
      </c>
      <c r="BU62" s="14">
        <f t="shared" si="47"/>
        <v>441393.37222847884</v>
      </c>
      <c r="BV62" s="14">
        <f t="shared" si="48"/>
        <v>1622058.6253386494</v>
      </c>
      <c r="BW62" s="14">
        <f t="shared" si="45"/>
        <v>48661.758760159479</v>
      </c>
      <c r="BX62" s="14">
        <f t="shared" si="46"/>
        <v>490055.13098863832</v>
      </c>
      <c r="BY62" s="14">
        <f>BT62*(VLOOKUP(92,$A$24:$K$72,11,FALSE)-1)</f>
        <v>988557.38598468946</v>
      </c>
      <c r="BZ62" s="11">
        <f>BZ$61*$D$51/$D$47</f>
        <v>17.650203156243514</v>
      </c>
      <c r="CA62" s="14">
        <f t="shared" si="49"/>
        <v>529506.09468730539</v>
      </c>
      <c r="CB62" s="14">
        <f t="shared" si="52"/>
        <v>552382.54216673248</v>
      </c>
      <c r="CC62" s="14">
        <f t="shared" si="53"/>
        <v>2209941.5591819873</v>
      </c>
      <c r="CD62" s="14">
        <f t="shared" si="50"/>
        <v>66298.246775459615</v>
      </c>
      <c r="CE62" s="14">
        <f t="shared" si="51"/>
        <v>618680.7889421921</v>
      </c>
      <c r="CF62" s="14">
        <f>CA62*(VLOOKUP(91,$A$24:$K$72,11,FALSE)-1)</f>
        <v>1892049.704289302</v>
      </c>
      <c r="CG62" s="11">
        <f>CG$61*$D$50/$D$47</f>
        <v>26.82518636057015</v>
      </c>
      <c r="CH62" s="14">
        <f t="shared" si="54"/>
        <v>804755.59081710456</v>
      </c>
      <c r="CI62" s="14">
        <f t="shared" si="57"/>
        <v>665981.27602404356</v>
      </c>
      <c r="CJ62" s="14">
        <f t="shared" si="58"/>
        <v>2888457.9790015211</v>
      </c>
      <c r="CK62" s="14">
        <f t="shared" si="55"/>
        <v>86653.73937004563</v>
      </c>
      <c r="CL62" s="14">
        <f t="shared" si="56"/>
        <v>752635.01539408916</v>
      </c>
      <c r="CM62" s="14">
        <f>CH62*(VLOOKUP(90,$A$24:$K$72,11,FALSE)-1)</f>
        <v>3098986.1957985051</v>
      </c>
      <c r="CN62" s="11">
        <f>CN$61*$D$49/$D$47</f>
        <v>35.956696191873185</v>
      </c>
      <c r="CO62" s="14">
        <f t="shared" si="59"/>
        <v>1078700.8857561955</v>
      </c>
      <c r="CP62" s="14">
        <f t="shared" si="62"/>
        <v>777634.69817478117</v>
      </c>
      <c r="CQ62" s="14">
        <f t="shared" si="63"/>
        <v>3654383.0537837502</v>
      </c>
      <c r="CR62" s="14">
        <f t="shared" si="60"/>
        <v>109631.49161351249</v>
      </c>
      <c r="CS62" s="14">
        <f t="shared" si="61"/>
        <v>887266.18978829368</v>
      </c>
      <c r="CT62" s="14">
        <f>CO62*(VLOOKUP(89,$A$24:$K$72,11,FALSE)-1)</f>
        <v>4473116.9391192235</v>
      </c>
      <c r="CU62" s="11">
        <f>CU$61*$D$48/$D$47</f>
        <v>43.416362121431632</v>
      </c>
      <c r="CV62" s="14">
        <f t="shared" si="64"/>
        <v>1302490.8636429489</v>
      </c>
      <c r="CW62" s="14">
        <f t="shared" si="67"/>
        <v>883572.61823212553</v>
      </c>
      <c r="CX62" s="14">
        <f t="shared" si="68"/>
        <v>4517108.8120059418</v>
      </c>
      <c r="CY62" s="14">
        <f t="shared" si="65"/>
        <v>135513.26436017826</v>
      </c>
      <c r="CZ62" s="14">
        <f t="shared" si="66"/>
        <v>1019085.8825923038</v>
      </c>
      <c r="DA62" s="14">
        <f>CV62*(VLOOKUP(88,$A$24:$K$72,11,FALSE)-1)</f>
        <v>5837999.7965934519</v>
      </c>
      <c r="DB62" s="11">
        <f>DB$61*$D$47/$D$47</f>
        <v>47.697785787547737</v>
      </c>
      <c r="DC62" s="14">
        <f t="shared" si="69"/>
        <v>1430933.5736264321</v>
      </c>
      <c r="DD62" s="14">
        <f t="shared" si="72"/>
        <v>985980.23602280661</v>
      </c>
      <c r="DE62" s="14">
        <f t="shared" si="73"/>
        <v>5476398.5812968509</v>
      </c>
      <c r="DF62" s="14">
        <f t="shared" si="70"/>
        <v>164291.95743890552</v>
      </c>
      <c r="DG62" s="14">
        <f t="shared" si="71"/>
        <v>1150272.1934617122</v>
      </c>
      <c r="DH62" s="14">
        <f>DC62*(VLOOKUP(87,$A$24:$K$72,11,FALSE)-1)</f>
        <v>6920797.5729483347</v>
      </c>
      <c r="DI62" s="11">
        <f>DI$61*$D$46/$D$47</f>
        <v>48.186685825932209</v>
      </c>
      <c r="DJ62" s="14">
        <f t="shared" si="74"/>
        <v>1445600.5747779664</v>
      </c>
      <c r="DK62" s="14">
        <f t="shared" ref="DK62:DK85" si="77">DL61/$G48</f>
        <v>1089214.3101169176</v>
      </c>
      <c r="DL62" s="14">
        <f t="shared" ref="DL62:DL85" si="78">DL61-DK62</f>
        <v>6528617.8931944855</v>
      </c>
      <c r="DM62" s="14">
        <f t="shared" si="75"/>
        <v>195858.53679583455</v>
      </c>
      <c r="DN62" s="14">
        <f t="shared" si="76"/>
        <v>1285072.8469127521</v>
      </c>
      <c r="DO62" s="14">
        <f>DJ62*(VLOOKUP(86,$A$24:$K$72,11,FALSE)-1)</f>
        <v>7491207.5403648028</v>
      </c>
      <c r="DP62" s="11">
        <f>($N61-$N62)+(DI61-DI62)+(DB61-DB62)+(CU61-CU62)+(CN61-CN62)+(CG61-CG62)+(BZ61-BZ62)+(BS61-BS62)+(BL61-BL62)+(BE61-BE62)+(AX61-AX62)+(AQ61-AQ62)+(AJ61-AJ62)+(AC61-AC62)+(V61-V62)</f>
        <v>45.154505710614735</v>
      </c>
      <c r="DQ62" s="14">
        <f t="shared" ref="DQ62:DQ86" si="79">DP62*$B$21</f>
        <v>1354635.1713184421</v>
      </c>
      <c r="DR62" s="14">
        <f>DQ$46/$G47</f>
        <v>1188290.4978879888</v>
      </c>
      <c r="DS62" s="14">
        <f>DQ$46-DR62</f>
        <v>7670830.5493455185</v>
      </c>
      <c r="DT62" s="14">
        <f t="shared" ref="DT62:DT86" si="80">$B$20*DS62</f>
        <v>230124.91648036556</v>
      </c>
      <c r="DU62" s="14">
        <f t="shared" ref="DU62:DU86" si="81">DR62+DT62</f>
        <v>1418415.4143683542</v>
      </c>
      <c r="DV62" s="14">
        <f>DQ62*(VLOOKUP(85,$A$24:$K$72,11,FALSE)-1)</f>
        <v>7504485.8759150738</v>
      </c>
      <c r="EZ62" s="15"/>
      <c r="FA62" s="14"/>
      <c r="FB62" s="14"/>
      <c r="FD62" s="14"/>
      <c r="FE62" s="15"/>
      <c r="FF62" s="14"/>
      <c r="FG62" s="14"/>
      <c r="HR62" s="15"/>
      <c r="HS62" s="15"/>
      <c r="HT62" s="15"/>
      <c r="HU62" s="14"/>
      <c r="HV62" s="14"/>
      <c r="NC62" s="15">
        <v>16</v>
      </c>
      <c r="ND62" s="15">
        <f>N62+V62+AC62+AJ62+AQ62+AX62+BE62+BL62+BS62+BZ62+CG62+CN62+CU62+DB62+DI62+DP62</f>
        <v>300</v>
      </c>
      <c r="NE62" s="14">
        <f>P62+W62+AD62+AK62+AR62+AY62+BF62+BM62+BT62+CA62+CH62+CO62+CV62+DC62+DJ62+DQ62</f>
        <v>9000000</v>
      </c>
      <c r="NF62" s="14">
        <f>T62+AA62+AH62+AO62+AV62+BC62+BJ62+BQ62+BX62+CE62+CL62+CS62+CZ62+DG62+DN62+DU62</f>
        <v>9318261.4021975528</v>
      </c>
      <c r="NH62" s="14">
        <f>U62+AB62+AI62+AP62+AW62+BD62+BK62+BR62+BY62+CF62+CM62+CT62+DA62+DH62+DO62+DV62</f>
        <v>39817725.173392162</v>
      </c>
      <c r="NI62" s="14">
        <f>R62+Y62+AF62+AM62+AT62+BA62+BH62+BO62+BV62+CC62+CJ62+CQ62+CX62+DE62+DL62+DS62</f>
        <v>38714057.596244544</v>
      </c>
    </row>
    <row r="63" spans="1:373" x14ac:dyDescent="0.25">
      <c r="A63" s="1">
        <f>'CCRC F'!A63</f>
        <v>101</v>
      </c>
      <c r="B63" s="3">
        <f>'CCRC F'!B63</f>
        <v>0.32540000000000002</v>
      </c>
      <c r="D63">
        <f t="shared" si="5"/>
        <v>187.35991210755952</v>
      </c>
      <c r="E63">
        <f t="shared" si="6"/>
        <v>60.966915399799873</v>
      </c>
      <c r="F63">
        <f t="shared" si="0"/>
        <v>521.09413649682938</v>
      </c>
      <c r="G63">
        <f t="shared" si="2"/>
        <v>2.7812466959190276</v>
      </c>
      <c r="I63">
        <f t="shared" si="3"/>
        <v>9.4649206806231945</v>
      </c>
      <c r="J63">
        <f t="shared" si="1"/>
        <v>25.169220583364986</v>
      </c>
      <c r="K63" s="18">
        <f t="shared" si="4"/>
        <v>2.6592109361140235</v>
      </c>
      <c r="M63">
        <v>17</v>
      </c>
      <c r="N63" s="9">
        <f>$B$18*$D$63/$D$47</f>
        <v>12.027322003116215</v>
      </c>
      <c r="O63" s="6">
        <f>$B$18*$B$21*$K$63</f>
        <v>23932898.425026212</v>
      </c>
      <c r="P63" s="6">
        <f>$B$18*$B$21*$D$63/$D$47</f>
        <v>360819.66009348643</v>
      </c>
      <c r="Q63" s="6">
        <f>R62/$G$63</f>
        <v>316512.2112715863</v>
      </c>
      <c r="R63" s="6">
        <f>R62-$Q$63</f>
        <v>563786.33054553834</v>
      </c>
      <c r="S63" s="6">
        <f>$B$20*$R$63</f>
        <v>16913.589916366149</v>
      </c>
      <c r="T63" s="6">
        <f t="shared" si="7"/>
        <v>333425.80118795246</v>
      </c>
      <c r="U63" s="6">
        <f t="shared" si="8"/>
        <v>598675.92599205743</v>
      </c>
      <c r="V63" s="11">
        <f>V$62*$D$60/$D$47</f>
        <v>1.4397103774862222E-4</v>
      </c>
      <c r="W63" s="14">
        <f t="shared" si="9"/>
        <v>4.3191311324586668</v>
      </c>
      <c r="X63" s="14">
        <f t="shared" si="12"/>
        <v>35168.023474620706</v>
      </c>
      <c r="Y63" s="14">
        <f t="shared" si="13"/>
        <v>67782.987719918601</v>
      </c>
      <c r="Z63" s="14">
        <f t="shared" si="10"/>
        <v>2033.4896315975579</v>
      </c>
      <c r="AA63" s="14">
        <f t="shared" si="11"/>
        <v>37201.513106218263</v>
      </c>
      <c r="AB63" s="14">
        <f>W63*(VLOOKUP(100,$A$24:$K$72,11,FALSE)-1)</f>
        <v>7.7276098584151756</v>
      </c>
      <c r="AC63" s="11">
        <f>AC$62*$D$59/$D$47</f>
        <v>1.2210844922820848E-3</v>
      </c>
      <c r="AD63" s="14">
        <f t="shared" si="14"/>
        <v>36.632534768462541</v>
      </c>
      <c r="AE63" s="14">
        <f t="shared" si="17"/>
        <v>47044.858448978601</v>
      </c>
      <c r="AF63" s="14">
        <f t="shared" si="18"/>
        <v>97835.794225092453</v>
      </c>
      <c r="AG63" s="14">
        <f t="shared" si="15"/>
        <v>2935.0738267527736</v>
      </c>
      <c r="AH63" s="14">
        <f t="shared" si="16"/>
        <v>49979.932275731371</v>
      </c>
      <c r="AI63" s="14">
        <f>AD63*(VLOOKUP(99,$A$24:$K$72,11,FALSE)-1)</f>
        <v>70.470261278306864</v>
      </c>
      <c r="AJ63" s="11">
        <f>AJ$62*$D$58/$D$47</f>
        <v>7.944190979856193E-3</v>
      </c>
      <c r="AK63" s="14">
        <f t="shared" si="19"/>
        <v>238.32572939568578</v>
      </c>
      <c r="AL63" s="14">
        <f t="shared" si="22"/>
        <v>63343.172540796942</v>
      </c>
      <c r="AM63" s="14">
        <f t="shared" si="23"/>
        <v>141779.34233072159</v>
      </c>
      <c r="AN63" s="14">
        <f t="shared" si="20"/>
        <v>4253.3802699216476</v>
      </c>
      <c r="AO63" s="14">
        <f t="shared" si="21"/>
        <v>67596.552810718596</v>
      </c>
      <c r="AP63" s="14">
        <f>AK63*(VLOOKUP(98,$A$24:$K$72,11,FALSE)-1)</f>
        <v>491.6799096031686</v>
      </c>
      <c r="AQ63" s="11">
        <f>AQ$62*$D$57/$D$47</f>
        <v>4.5103968155334517E-2</v>
      </c>
      <c r="AR63" s="14">
        <f t="shared" si="24"/>
        <v>1353.1190446600356</v>
      </c>
      <c r="AS63" s="14">
        <f t="shared" si="27"/>
        <v>95041.945202957286</v>
      </c>
      <c r="AT63" s="14">
        <f t="shared" si="28"/>
        <v>229259.22073144154</v>
      </c>
      <c r="AU63" s="14">
        <f t="shared" si="25"/>
        <v>6877.776621943246</v>
      </c>
      <c r="AV63" s="14">
        <f t="shared" si="26"/>
        <v>101919.72182490054</v>
      </c>
      <c r="AW63" s="14">
        <f>AR63*(VLOOKUP(97,$A$24:$K$72,11,FALSE)-1)</f>
        <v>2997.450640418444</v>
      </c>
      <c r="AX63" s="11">
        <f>AX$62*$D$56/$D$47</f>
        <v>0.21145215312967411</v>
      </c>
      <c r="AY63" s="14">
        <f t="shared" si="29"/>
        <v>6343.5645938902235</v>
      </c>
      <c r="AZ63" s="14">
        <f t="shared" si="32"/>
        <v>146418.11703824945</v>
      </c>
      <c r="BA63" s="14">
        <f t="shared" si="33"/>
        <v>381749.26613894262</v>
      </c>
      <c r="BB63" s="14">
        <f t="shared" si="30"/>
        <v>11452.477984168278</v>
      </c>
      <c r="BC63" s="14">
        <f t="shared" si="31"/>
        <v>157870.59502241772</v>
      </c>
      <c r="BD63" s="14">
        <f>AY63*(VLOOKUP(96,$A$24:$K$72,11,FALSE)-1)</f>
        <v>15130.610938350315</v>
      </c>
      <c r="BE63" s="11">
        <f>BE$62*$D$55/$D$47</f>
        <v>0.75918145360326361</v>
      </c>
      <c r="BF63" s="14">
        <f t="shared" si="34"/>
        <v>22775.443608097907</v>
      </c>
      <c r="BG63" s="14">
        <f t="shared" si="37"/>
        <v>209379.67040626251</v>
      </c>
      <c r="BH63" s="14">
        <f t="shared" si="38"/>
        <v>592144.0026632091</v>
      </c>
      <c r="BI63" s="14">
        <f t="shared" si="35"/>
        <v>17764.320079896272</v>
      </c>
      <c r="BJ63" s="14">
        <f t="shared" si="36"/>
        <v>227143.99048615879</v>
      </c>
      <c r="BK63" s="14">
        <f>BF63*(VLOOKUP(95,$A$24:$K$72,11,FALSE)-1)</f>
        <v>58685.230532829526</v>
      </c>
      <c r="BL63" s="11">
        <f>BL$62*$D$54/$D$47</f>
        <v>2.18677075814441</v>
      </c>
      <c r="BM63" s="14">
        <f t="shared" si="39"/>
        <v>65603.1227443323</v>
      </c>
      <c r="BN63" s="14">
        <f t="shared" si="42"/>
        <v>284200.26741978718</v>
      </c>
      <c r="BO63" s="14">
        <f t="shared" si="43"/>
        <v>874815.33293773909</v>
      </c>
      <c r="BP63" s="14">
        <f t="shared" si="40"/>
        <v>26244.45998813217</v>
      </c>
      <c r="BQ63" s="14">
        <f t="shared" si="41"/>
        <v>310444.72740791936</v>
      </c>
      <c r="BR63" s="14">
        <f>BM63*(VLOOKUP(94,$A$24:$K$72,11,FALSE)-1)</f>
        <v>183180.18997406031</v>
      </c>
      <c r="BS63" s="11">
        <f>BS$62*$D$53/$D$47</f>
        <v>5.2455148462575796</v>
      </c>
      <c r="BT63" s="14">
        <f t="shared" si="44"/>
        <v>157365.44538772738</v>
      </c>
      <c r="BU63" s="14">
        <f t="shared" si="47"/>
        <v>371962.19477693905</v>
      </c>
      <c r="BV63" s="14">
        <f t="shared" si="48"/>
        <v>1250096.4305617104</v>
      </c>
      <c r="BW63" s="14">
        <f t="shared" si="45"/>
        <v>37502.892916851313</v>
      </c>
      <c r="BX63" s="14">
        <f t="shared" si="46"/>
        <v>409465.08769379038</v>
      </c>
      <c r="BY63" s="14">
        <f>BT63*(VLOOKUP(93,$A$24:$K$72,11,FALSE)-1)</f>
        <v>477472.97840837773</v>
      </c>
      <c r="BZ63" s="11">
        <f>BZ$62*$D$52/$D$47</f>
        <v>10.692455482749303</v>
      </c>
      <c r="CA63" s="14">
        <f t="shared" si="49"/>
        <v>320773.6644824791</v>
      </c>
      <c r="CB63" s="14">
        <f t="shared" si="52"/>
        <v>472728.97958628979</v>
      </c>
      <c r="CC63" s="14">
        <f t="shared" si="53"/>
        <v>1737212.5795956976</v>
      </c>
      <c r="CD63" s="14">
        <f t="shared" si="50"/>
        <v>52116.377387870925</v>
      </c>
      <c r="CE63" s="14">
        <f t="shared" si="51"/>
        <v>524845.35697416076</v>
      </c>
      <c r="CF63" s="14">
        <f>CA63*(VLOOKUP(92,$A$24:$K$72,11,FALSE)-1)</f>
        <v>1058737.5201844512</v>
      </c>
      <c r="CG63" s="11">
        <f>CG$62*$D$51/$D$47</f>
        <v>18.456150787214771</v>
      </c>
      <c r="CH63" s="14">
        <f t="shared" si="54"/>
        <v>553684.52361644316</v>
      </c>
      <c r="CI63" s="14">
        <f t="shared" si="57"/>
        <v>577605.56069565297</v>
      </c>
      <c r="CJ63" s="14">
        <f t="shared" si="58"/>
        <v>2310852.4183058683</v>
      </c>
      <c r="CK63" s="14">
        <f t="shared" si="55"/>
        <v>69325.572549176053</v>
      </c>
      <c r="CL63" s="14">
        <f t="shared" si="56"/>
        <v>646931.13324482902</v>
      </c>
      <c r="CM63" s="14">
        <f>CH63*(VLOOKUP(91,$A$24:$K$72,11,FALSE)-1)</f>
        <v>1978444.912511731</v>
      </c>
      <c r="CN63" s="11">
        <f>CN$62*$D$50/$D$47</f>
        <v>27.579457522605324</v>
      </c>
      <c r="CO63" s="14">
        <f t="shared" si="59"/>
        <v>827383.72567815974</v>
      </c>
      <c r="CP63" s="14">
        <f t="shared" si="62"/>
        <v>684707.35174289497</v>
      </c>
      <c r="CQ63" s="14">
        <f t="shared" si="63"/>
        <v>2969675.7020408553</v>
      </c>
      <c r="CR63" s="14">
        <f t="shared" si="60"/>
        <v>89090.271061225649</v>
      </c>
      <c r="CS63" s="14">
        <f t="shared" si="61"/>
        <v>773797.62280412065</v>
      </c>
      <c r="CT63" s="14">
        <f>CO63*(VLOOKUP(90,$A$24:$K$72,11,FALSE)-1)</f>
        <v>3186123.555726476</v>
      </c>
      <c r="CU63" s="11">
        <f>CU$62*$D$49/$D$47</f>
        <v>36.64703489672543</v>
      </c>
      <c r="CV63" s="14">
        <f t="shared" si="64"/>
        <v>1099411.046901763</v>
      </c>
      <c r="CW63" s="14">
        <f t="shared" si="67"/>
        <v>792564.6385542166</v>
      </c>
      <c r="CX63" s="14">
        <f t="shared" si="68"/>
        <v>3724544.1734517254</v>
      </c>
      <c r="CY63" s="14">
        <f t="shared" si="65"/>
        <v>111736.32520355175</v>
      </c>
      <c r="CZ63" s="14">
        <f t="shared" si="66"/>
        <v>904300.96375776839</v>
      </c>
      <c r="DA63" s="14">
        <f>CV63*(VLOOKUP(89,$A$24:$K$72,11,FALSE)-1)</f>
        <v>4558997.0694272509</v>
      </c>
      <c r="DB63" s="11">
        <f>DB$62*$D$48/$D$47</f>
        <v>44.025056281906558</v>
      </c>
      <c r="DC63" s="14">
        <f t="shared" si="69"/>
        <v>1320751.6884571968</v>
      </c>
      <c r="DD63" s="14">
        <f t="shared" si="72"/>
        <v>895960.24047392432</v>
      </c>
      <c r="DE63" s="14">
        <f t="shared" si="73"/>
        <v>4580438.3408229267</v>
      </c>
      <c r="DF63" s="14">
        <f t="shared" si="70"/>
        <v>137413.15022468779</v>
      </c>
      <c r="DG63" s="14">
        <f t="shared" si="71"/>
        <v>1033373.3906986121</v>
      </c>
      <c r="DH63" s="14">
        <f>DC63*(VLOOKUP(88,$A$24:$K$72,11,FALSE)-1)</f>
        <v>5919848.1185486922</v>
      </c>
      <c r="DI63" s="11">
        <f>DI$62*$D$47/$D$47</f>
        <v>48.186685825932209</v>
      </c>
      <c r="DJ63" s="14">
        <f t="shared" si="74"/>
        <v>1445600.5747779664</v>
      </c>
      <c r="DK63" s="14">
        <f t="shared" si="77"/>
        <v>996086.48660192126</v>
      </c>
      <c r="DL63" s="14">
        <f t="shared" si="78"/>
        <v>5532531.4065925647</v>
      </c>
      <c r="DM63" s="14">
        <f t="shared" si="75"/>
        <v>165975.94219777692</v>
      </c>
      <c r="DN63" s="14">
        <f t="shared" si="76"/>
        <v>1162062.4287996981</v>
      </c>
      <c r="DO63" s="14">
        <f>DJ63*(VLOOKUP(87,$A$24:$K$72,11,FALSE)-1)</f>
        <v>6991735.4192906478</v>
      </c>
      <c r="DP63" s="11">
        <f>DP$62*$D$46/$D$47</f>
        <v>48.521927477557199</v>
      </c>
      <c r="DQ63" s="14">
        <f t="shared" si="79"/>
        <v>1455657.8243267159</v>
      </c>
      <c r="DR63" s="14">
        <f t="shared" ref="DR63:DR86" si="82">DS62/$G48</f>
        <v>1096792.1295506135</v>
      </c>
      <c r="DS63" s="14">
        <f t="shared" ref="DS63:DS86" si="83">DS62-DR63</f>
        <v>6574038.419794905</v>
      </c>
      <c r="DT63" s="14">
        <f t="shared" si="80"/>
        <v>197221.15259384713</v>
      </c>
      <c r="DU63" s="14">
        <f t="shared" si="81"/>
        <v>1294013.2821444606</v>
      </c>
      <c r="DV63" s="14">
        <f>DQ63*(VLOOKUP(86,$A$24:$K$72,11,FALSE)-1)</f>
        <v>7543324.9405439598</v>
      </c>
      <c r="DW63" s="11">
        <f>($N62-$N63)+(DP62-DP63)+(DI62-DI63)+(DB62-DB63)+(CU62-CU63)+(CN62-CN63)+(CG62-CG63)+(BZ62-BZ63)+(BS62-BS63)+(BL62-BL63)+(BE62-BE63)+(AX62-AX63)+(AQ62-AQ63)+(AJ62-AJ63)+(AC62-AC63)+(V62-V63)</f>
        <v>45.406577296392847</v>
      </c>
      <c r="DX63" s="14">
        <f t="shared" ref="DX63:DX87" si="84">DW63*$B$21</f>
        <v>1362197.3188917853</v>
      </c>
      <c r="DY63" s="14">
        <f>DX$46/$G47</f>
        <v>1194924.0390031841</v>
      </c>
      <c r="DZ63" s="14">
        <f>DX$46-DY63</f>
        <v>7713652.3761018701</v>
      </c>
      <c r="EA63" s="14">
        <f t="shared" ref="EA63:EA87" si="85">$B$20*DZ63</f>
        <v>231409.57128305608</v>
      </c>
      <c r="EB63" s="14">
        <f t="shared" ref="EB63:EB87" si="86">DY63+EA63</f>
        <v>1426333.6102862402</v>
      </c>
      <c r="EC63" s="14">
        <f>DX63*(VLOOKUP(85,$A$24:$K$72,11,FALSE)-1)</f>
        <v>7546379.0962132784</v>
      </c>
      <c r="EZ63" s="15"/>
      <c r="FA63" s="14"/>
      <c r="FB63" s="14"/>
      <c r="FD63" s="14"/>
      <c r="FE63" s="15"/>
      <c r="FF63" s="14"/>
      <c r="FG63" s="14"/>
      <c r="HR63" s="15"/>
      <c r="HS63" s="15"/>
      <c r="HT63" s="15"/>
      <c r="HU63" s="14"/>
      <c r="HV63" s="14"/>
      <c r="NC63" s="15">
        <v>17</v>
      </c>
      <c r="ND63" s="15">
        <f>N63+V63+AC63+AJ63+AQ63+AX63+BE63+BL63+BS63+BZ63+CG63+CN63+CU63+DB63+DI63+DP63+DW63</f>
        <v>300</v>
      </c>
      <c r="NE63" s="14">
        <f>P63+W63+AD63+AK63+AR63+AY63+BF63+BM63+BT63+CA63+CH63+CO63+CV63+DC63+DJ63+DQ63+DX63</f>
        <v>9000000.0000000019</v>
      </c>
      <c r="NF63" s="14">
        <f>T63+AA63+AH63+AO63+AV63+BC63+BJ63+BQ63+BX63+CE63+CL63+CS63+CZ63+DG63+DN63+DU63+EB63</f>
        <v>9460705.7105256971</v>
      </c>
      <c r="NH63" s="14">
        <f>U63+AB63+AI63+AP63+AW63+BD63+BK63+BR63+BY63+CF63+CM63+CT63+DA63+DH63+DO63+DV63+EC63</f>
        <v>40120302.896713324</v>
      </c>
      <c r="NI63" s="14">
        <f>R63+Y63+AF63+AM63+AT63+BA63+BH63+BO63+BV63+CC63+CJ63+CQ63+CX63+DE63+DL63+DS63+DZ63</f>
        <v>39342194.124560729</v>
      </c>
    </row>
    <row r="64" spans="1:373" x14ac:dyDescent="0.25">
      <c r="A64" s="1">
        <f>'CCRC F'!A64</f>
        <v>102</v>
      </c>
      <c r="B64" s="3">
        <f>'CCRC F'!B64</f>
        <v>0.34489999999999998</v>
      </c>
      <c r="D64">
        <f t="shared" si="5"/>
        <v>126.39299670775965</v>
      </c>
      <c r="E64">
        <f t="shared" si="6"/>
        <v>43.592944564506304</v>
      </c>
      <c r="F64">
        <f t="shared" si="0"/>
        <v>333.73422438926991</v>
      </c>
      <c r="G64">
        <f t="shared" si="2"/>
        <v>2.6404487042974032</v>
      </c>
      <c r="I64">
        <f t="shared" si="3"/>
        <v>6.1990635836392292</v>
      </c>
      <c r="J64">
        <f t="shared" si="1"/>
        <v>15.704299902741791</v>
      </c>
      <c r="K64" s="18">
        <f t="shared" si="4"/>
        <v>2.5333342190890074</v>
      </c>
      <c r="M64">
        <v>18</v>
      </c>
      <c r="N64" s="9">
        <f>$B$18*$D$64/$D$47</f>
        <v>8.1136314233021967</v>
      </c>
      <c r="O64" s="6">
        <f>$B$18*$B$21*$K$64</f>
        <v>22800007.971801065</v>
      </c>
      <c r="P64" s="6">
        <f>$B$18*$B$21*$D$64/$D$47</f>
        <v>243408.94269906593</v>
      </c>
      <c r="Q64" s="6">
        <f>R63/$G$64</f>
        <v>213519.13772381205</v>
      </c>
      <c r="R64" s="6">
        <f>R63-$Q$64</f>
        <v>350267.19282172632</v>
      </c>
      <c r="S64" s="6">
        <f>$B$20*$R$64</f>
        <v>10508.015784651789</v>
      </c>
      <c r="T64" s="6">
        <f t="shared" si="7"/>
        <v>224027.15350846385</v>
      </c>
      <c r="U64" s="6">
        <f t="shared" si="8"/>
        <v>373227.26107275317</v>
      </c>
      <c r="V64" s="11">
        <f>V$63*$D$61/$D$47</f>
        <v>1.1724292136600069E-5</v>
      </c>
      <c r="W64" s="14">
        <f t="shared" si="9"/>
        <v>0.35172876409800208</v>
      </c>
      <c r="X64" s="14">
        <f t="shared" si="12"/>
        <v>24371.440267912149</v>
      </c>
      <c r="Y64" s="14">
        <f t="shared" si="13"/>
        <v>43411.547452006453</v>
      </c>
      <c r="Z64" s="14">
        <f t="shared" si="10"/>
        <v>1302.3464235601934</v>
      </c>
      <c r="AA64" s="14">
        <f t="shared" si="11"/>
        <v>25673.786691472342</v>
      </c>
      <c r="AB64" s="14">
        <f>W64*(VLOOKUP(101,$A$24:$K$72,11,FALSE)-1)</f>
        <v>0.58359221193727451</v>
      </c>
      <c r="AC64" s="11">
        <f>AC$63*$D$60/$D$47</f>
        <v>1.3681770251805281E-4</v>
      </c>
      <c r="AD64" s="14">
        <f t="shared" si="14"/>
        <v>4.1045310755415843</v>
      </c>
      <c r="AE64" s="14">
        <f t="shared" si="17"/>
        <v>33420.667442154394</v>
      </c>
      <c r="AF64" s="14">
        <f t="shared" si="18"/>
        <v>64415.126782938059</v>
      </c>
      <c r="AG64" s="14">
        <f t="shared" si="15"/>
        <v>1932.4538034881416</v>
      </c>
      <c r="AH64" s="14">
        <f t="shared" si="16"/>
        <v>35353.121245642535</v>
      </c>
      <c r="AI64" s="14">
        <f>AD64*(VLOOKUP(100,$A$24:$K$72,11,FALSE)-1)</f>
        <v>7.343656358372936</v>
      </c>
      <c r="AJ64" s="11">
        <f>AJ$63*$D$59/$D$47</f>
        <v>1.1949459990041908E-3</v>
      </c>
      <c r="AK64" s="14">
        <f t="shared" si="19"/>
        <v>35.848379970125727</v>
      </c>
      <c r="AL64" s="14">
        <f t="shared" si="22"/>
        <v>46037.817802651225</v>
      </c>
      <c r="AM64" s="14">
        <f t="shared" si="23"/>
        <v>95741.524528070353</v>
      </c>
      <c r="AN64" s="14">
        <f t="shared" si="20"/>
        <v>2872.2457358421107</v>
      </c>
      <c r="AO64" s="14">
        <f t="shared" si="21"/>
        <v>48910.063538493334</v>
      </c>
      <c r="AP64" s="14">
        <f>AK64*(VLOOKUP(99,$A$24:$K$72,11,FALSE)-1)</f>
        <v>68.961777252543868</v>
      </c>
      <c r="AQ64" s="11">
        <f>AQ$63*$D$58/$D$47</f>
        <v>8.8789815907062489E-3</v>
      </c>
      <c r="AR64" s="14">
        <f t="shared" si="24"/>
        <v>266.36944772118744</v>
      </c>
      <c r="AS64" s="14">
        <f t="shared" si="27"/>
        <v>70796.744981682888</v>
      </c>
      <c r="AT64" s="14">
        <f t="shared" si="28"/>
        <v>158462.47574975865</v>
      </c>
      <c r="AU64" s="14">
        <f t="shared" si="25"/>
        <v>4753.8742724927597</v>
      </c>
      <c r="AV64" s="14">
        <f t="shared" si="26"/>
        <v>75550.619254175646</v>
      </c>
      <c r="AW64" s="14">
        <f>AR64*(VLOOKUP(98,$A$24:$K$72,11,FALSE)-1)</f>
        <v>549.53573963118311</v>
      </c>
      <c r="AX64" s="11">
        <f>AX$63*$D$57/$D$47</f>
        <v>5.3093878628657692E-2</v>
      </c>
      <c r="AY64" s="14">
        <f t="shared" si="29"/>
        <v>1592.8163588597308</v>
      </c>
      <c r="AZ64" s="14">
        <f t="shared" si="32"/>
        <v>111878.08322892641</v>
      </c>
      <c r="BA64" s="14">
        <f t="shared" si="33"/>
        <v>269871.18291001621</v>
      </c>
      <c r="BB64" s="14">
        <f t="shared" si="30"/>
        <v>8096.1354873004857</v>
      </c>
      <c r="BC64" s="14">
        <f t="shared" si="31"/>
        <v>119974.2187162269</v>
      </c>
      <c r="BD64" s="14">
        <f>AY64*(VLOOKUP(97,$A$24:$K$72,11,FALSE)-1)</f>
        <v>3528.431909797423</v>
      </c>
      <c r="BE64" s="11">
        <f>BE$63*$D$56/$D$47</f>
        <v>0.2370652340793129</v>
      </c>
      <c r="BF64" s="14">
        <f t="shared" si="34"/>
        <v>7111.9570223793871</v>
      </c>
      <c r="BG64" s="14">
        <f t="shared" si="37"/>
        <v>164153.66159850979</v>
      </c>
      <c r="BH64" s="14">
        <f t="shared" si="38"/>
        <v>427990.34106469934</v>
      </c>
      <c r="BI64" s="14">
        <f t="shared" si="35"/>
        <v>12839.710231940981</v>
      </c>
      <c r="BJ64" s="14">
        <f t="shared" si="36"/>
        <v>176993.37183045078</v>
      </c>
      <c r="BK64" s="14">
        <f>BF64*(VLOOKUP(96,$A$24:$K$72,11,FALSE)-1)</f>
        <v>16963.373372052254</v>
      </c>
      <c r="BL64" s="11">
        <f>BL$63*$D$55/$D$47</f>
        <v>0.82860132321572821</v>
      </c>
      <c r="BM64" s="14">
        <f t="shared" si="39"/>
        <v>24858.039696471846</v>
      </c>
      <c r="BN64" s="14">
        <f t="shared" si="42"/>
        <v>228525.43503225085</v>
      </c>
      <c r="BO64" s="14">
        <f t="shared" si="43"/>
        <v>646289.89790548827</v>
      </c>
      <c r="BP64" s="14">
        <f t="shared" si="40"/>
        <v>19388.696937164648</v>
      </c>
      <c r="BQ64" s="14">
        <f t="shared" si="41"/>
        <v>247914.1319694155</v>
      </c>
      <c r="BR64" s="14">
        <f>BM64*(VLOOKUP(95,$A$24:$K$72,11,FALSE)-1)</f>
        <v>64051.432555324427</v>
      </c>
      <c r="BS64" s="11">
        <f>BS$63*$D$54/$D$47</f>
        <v>2.3586173631914749</v>
      </c>
      <c r="BT64" s="14">
        <f t="shared" si="44"/>
        <v>70758.520895744252</v>
      </c>
      <c r="BU64" s="14">
        <f t="shared" si="47"/>
        <v>306534.04471567558</v>
      </c>
      <c r="BV64" s="14">
        <f t="shared" si="48"/>
        <v>943562.38584603486</v>
      </c>
      <c r="BW64" s="14">
        <f t="shared" si="45"/>
        <v>28306.871575381043</v>
      </c>
      <c r="BX64" s="14">
        <f t="shared" si="46"/>
        <v>334840.91629105661</v>
      </c>
      <c r="BY64" s="14">
        <f>BT64*(VLOOKUP(94,$A$24:$K$72,11,FALSE)-1)</f>
        <v>197575.34028493706</v>
      </c>
      <c r="BZ64" s="11">
        <f>BZ$63*$D$53/$D$47</f>
        <v>5.6179069208871262</v>
      </c>
      <c r="CA64" s="14">
        <f t="shared" si="49"/>
        <v>168537.20762661379</v>
      </c>
      <c r="CB64" s="14">
        <f t="shared" si="52"/>
        <v>398368.71109736635</v>
      </c>
      <c r="CC64" s="14">
        <f t="shared" si="53"/>
        <v>1338843.8684983312</v>
      </c>
      <c r="CD64" s="14">
        <f t="shared" si="50"/>
        <v>40165.316054949937</v>
      </c>
      <c r="CE64" s="14">
        <f t="shared" si="51"/>
        <v>438534.0271523163</v>
      </c>
      <c r="CF64" s="14">
        <f>CA64*(VLOOKUP(93,$A$24:$K$72,11,FALSE)-1)</f>
        <v>511369.96625808359</v>
      </c>
      <c r="CG64" s="11">
        <f>CG$63*$D$52/$D$47</f>
        <v>11.180696841180302</v>
      </c>
      <c r="CH64" s="14">
        <f t="shared" si="54"/>
        <v>335420.90523540904</v>
      </c>
      <c r="CI64" s="14">
        <f t="shared" si="57"/>
        <v>494314.83884333982</v>
      </c>
      <c r="CJ64" s="14">
        <f t="shared" si="58"/>
        <v>1816537.5794625285</v>
      </c>
      <c r="CK64" s="14">
        <f t="shared" si="55"/>
        <v>54496.12738387585</v>
      </c>
      <c r="CL64" s="14">
        <f t="shared" si="56"/>
        <v>548810.96622721571</v>
      </c>
      <c r="CM64" s="14">
        <f>CH64*(VLOOKUP(92,$A$24:$K$72,11,FALSE)-1)</f>
        <v>1107081.8360350709</v>
      </c>
      <c r="CN64" s="11">
        <f>CN$63*$D$51/$D$47</f>
        <v>18.975101228559364</v>
      </c>
      <c r="CO64" s="14">
        <f t="shared" si="59"/>
        <v>569253.03685678088</v>
      </c>
      <c r="CP64" s="14">
        <f t="shared" si="62"/>
        <v>593846.68616661278</v>
      </c>
      <c r="CQ64" s="14">
        <f t="shared" si="63"/>
        <v>2375829.0158742424</v>
      </c>
      <c r="CR64" s="14">
        <f t="shared" si="60"/>
        <v>71274.870476227268</v>
      </c>
      <c r="CS64" s="14">
        <f t="shared" si="61"/>
        <v>665121.55664284003</v>
      </c>
      <c r="CT64" s="14">
        <f>CO64*(VLOOKUP(91,$A$24:$K$72,11,FALSE)-1)</f>
        <v>2034074.8687448134</v>
      </c>
      <c r="CU64" s="11">
        <f>CU$63*$D$50/$D$47</f>
        <v>28.108960202303301</v>
      </c>
      <c r="CV64" s="14">
        <f t="shared" si="64"/>
        <v>843268.806069099</v>
      </c>
      <c r="CW64" s="14">
        <f t="shared" si="67"/>
        <v>697853.1642469879</v>
      </c>
      <c r="CX64" s="14">
        <f t="shared" si="68"/>
        <v>3026691.0092047374</v>
      </c>
      <c r="CY64" s="14">
        <f t="shared" si="65"/>
        <v>90800.730276142116</v>
      </c>
      <c r="CZ64" s="14">
        <f t="shared" si="66"/>
        <v>788653.89452313003</v>
      </c>
      <c r="DA64" s="14">
        <f>CV64*(VLOOKUP(90,$A$24:$K$72,11,FALSE)-1)</f>
        <v>3247294.4819212072</v>
      </c>
      <c r="DB64" s="11">
        <f>DB$63*$D$49/$D$47</f>
        <v>37.160823594128672</v>
      </c>
      <c r="DC64" s="14">
        <f t="shared" si="69"/>
        <v>1114824.7078238602</v>
      </c>
      <c r="DD64" s="14">
        <f t="shared" si="72"/>
        <v>803676.3357051101</v>
      </c>
      <c r="DE64" s="14">
        <f t="shared" si="73"/>
        <v>3776762.0051178169</v>
      </c>
      <c r="DF64" s="14">
        <f t="shared" si="70"/>
        <v>113302.86015353451</v>
      </c>
      <c r="DG64" s="14">
        <f t="shared" si="71"/>
        <v>916979.19585864455</v>
      </c>
      <c r="DH64" s="14">
        <f>DC64*(VLOOKUP(89,$A$24:$K$72,11,FALSE)-1)</f>
        <v>4622913.8684907276</v>
      </c>
      <c r="DI64" s="11">
        <f>DI$63*$D$48/$D$47</f>
        <v>44.476311017335426</v>
      </c>
      <c r="DJ64" s="14">
        <f t="shared" si="74"/>
        <v>1334289.3305200627</v>
      </c>
      <c r="DK64" s="14">
        <f t="shared" si="77"/>
        <v>905143.79037516599</v>
      </c>
      <c r="DL64" s="14">
        <f t="shared" si="78"/>
        <v>4627387.616217399</v>
      </c>
      <c r="DM64" s="14">
        <f t="shared" si="75"/>
        <v>138821.62848652198</v>
      </c>
      <c r="DN64" s="14">
        <f t="shared" si="76"/>
        <v>1043965.418861688</v>
      </c>
      <c r="DO64" s="14">
        <f>DJ64*(VLOOKUP(88,$A$24:$K$72,11,FALSE)-1)</f>
        <v>5980526.2805346576</v>
      </c>
      <c r="DP64" s="11">
        <f>DP$63*$D$47/$D$47</f>
        <v>48.521927477557199</v>
      </c>
      <c r="DQ64" s="14">
        <f t="shared" si="79"/>
        <v>1455657.8243267159</v>
      </c>
      <c r="DR64" s="14">
        <f t="shared" si="82"/>
        <v>1003016.4024740361</v>
      </c>
      <c r="DS64" s="14">
        <f t="shared" si="83"/>
        <v>5571022.0173208686</v>
      </c>
      <c r="DT64" s="14">
        <f t="shared" si="80"/>
        <v>167130.66051962605</v>
      </c>
      <c r="DU64" s="14">
        <f t="shared" si="81"/>
        <v>1170147.0629936622</v>
      </c>
      <c r="DV64" s="14">
        <f>DQ64*(VLOOKUP(87,$A$24:$K$72,11,FALSE)-1)</f>
        <v>7040377.9206271162</v>
      </c>
      <c r="DW64" s="11">
        <f>DW$63*$D$46/$D$47</f>
        <v>48.792797438634047</v>
      </c>
      <c r="DX64" s="14">
        <f t="shared" si="84"/>
        <v>1463783.9231590214</v>
      </c>
      <c r="DY64" s="14">
        <f t="shared" ref="DY64:DY87" si="87">DZ63/$G48</f>
        <v>1102914.8879999386</v>
      </c>
      <c r="DZ64" s="14">
        <f t="shared" ref="DZ64:DZ87" si="88">DZ63-DY64</f>
        <v>6610737.4881019313</v>
      </c>
      <c r="EA64" s="14">
        <f t="shared" si="85"/>
        <v>198322.12464305793</v>
      </c>
      <c r="EB64" s="14">
        <f t="shared" si="86"/>
        <v>1301237.0126429964</v>
      </c>
      <c r="EC64" s="14">
        <f>DX64*(VLOOKUP(86,$A$24:$K$72,11,FALSE)-1)</f>
        <v>7585434.9769595629</v>
      </c>
      <c r="ED64" s="11">
        <f>($N63-$N64)+(DW63-DW64)+(DP63-DP64)+(DI63-DI64)+(DB63-DB64)+(CU63-CU64)+(CN63-CN64)+(CG63-CG64)+(BZ63-BZ64)+(BS63-BS64)+(BL63-BL64)+(BE63-BE64)+(AX63-AX64)+(AQ63-AQ64)+(AJ63-AJ64)+(AC63-AC64)+(V63-V64)</f>
        <v>45.56424358741284</v>
      </c>
      <c r="EE64" s="14">
        <f t="shared" ref="EE64:EE88" si="89">ED64*$B$21</f>
        <v>1366927.3076223852</v>
      </c>
      <c r="EF64" s="14">
        <f>EE$46/$G47</f>
        <v>1199073.2009197602</v>
      </c>
      <c r="EG64" s="14">
        <f>EE$46-EF64</f>
        <v>7740436.6666776352</v>
      </c>
      <c r="EH64" s="14">
        <f t="shared" ref="EH64:EH88" si="90">$B$20*EG64</f>
        <v>232213.10000032905</v>
      </c>
      <c r="EI64" s="14">
        <f t="shared" ref="EI64:EI88" si="91">EF64+EH64</f>
        <v>1431286.3009200892</v>
      </c>
      <c r="EJ64" s="14">
        <f>EE64*(VLOOKUP(85,$A$24:$K$72,11,FALSE)-1)</f>
        <v>7572582.5599750206</v>
      </c>
      <c r="EZ64" s="15"/>
      <c r="FA64" s="14"/>
      <c r="FB64" s="14"/>
      <c r="FD64" s="14"/>
      <c r="FE64" s="15"/>
      <c r="FF64" s="14"/>
      <c r="FG64" s="14"/>
      <c r="HR64" s="15"/>
      <c r="HS64" s="15"/>
      <c r="HT64" s="15"/>
      <c r="HU64" s="14"/>
      <c r="HV64" s="14"/>
      <c r="NC64" s="15">
        <v>18</v>
      </c>
      <c r="ND64" s="15">
        <f>N64+V64+AC64+AJ64+AQ64+AX64+BE64+BL64+BS64+BZ64+CG64+CN64+CU64+DB64+DI64+DP64+DW64+ED64</f>
        <v>300</v>
      </c>
      <c r="NE64" s="14">
        <f>P64+W64+AD64+AK64+AR64+AY64+BF64+BM64+BT64+CA64+CH64+CO64+CV64+DC64+DJ64+DQ64+DX64+EE64</f>
        <v>9000000</v>
      </c>
      <c r="NF64" s="14">
        <f>T64+AA64+AH64+AO64+AV64+BC64+BJ64+BQ64+BX64+CE64+CL64+CS64+CZ64+DG64+DN64+DU64+EB64+EI64</f>
        <v>9593972.8188679796</v>
      </c>
      <c r="NH64" s="14">
        <f>U64+AB64+AI64+AP64+AW64+BD64+BK64+BR64+BY64+CF64+CM64+CT64+DA64+DH64+DO64+DV64+EC64+EJ64</f>
        <v>40357629.023506582</v>
      </c>
      <c r="NI64" s="14">
        <f>R64+Y64+AF64+AM64+AT64+BA64+BH64+BO64+BV64+CC64+CJ64+CQ64+CX64+DE64+DL64+DS64+DZ64+EG64</f>
        <v>39884258.941536233</v>
      </c>
    </row>
    <row r="65" spans="1:373" x14ac:dyDescent="0.25">
      <c r="A65" s="1">
        <f>'CCRC F'!A65</f>
        <v>103</v>
      </c>
      <c r="B65" s="3">
        <f>'CCRC F'!B65</f>
        <v>0.36559999999999998</v>
      </c>
      <c r="D65">
        <f t="shared" si="5"/>
        <v>82.800052143253339</v>
      </c>
      <c r="E65">
        <f t="shared" si="6"/>
        <v>30.271699063573418</v>
      </c>
      <c r="F65">
        <f t="shared" si="0"/>
        <v>207.34122768151025</v>
      </c>
      <c r="G65">
        <f t="shared" si="2"/>
        <v>2.5041195302967534</v>
      </c>
      <c r="I65">
        <f t="shared" si="3"/>
        <v>3.9427248093612226</v>
      </c>
      <c r="J65">
        <f t="shared" si="1"/>
        <v>9.5052363191025613</v>
      </c>
      <c r="K65" s="18">
        <f t="shared" si="4"/>
        <v>2.4108292560856013</v>
      </c>
      <c r="M65">
        <v>19</v>
      </c>
      <c r="N65" s="9">
        <f>$B$18*$D$65/$D$47</f>
        <v>5.3152399454052697</v>
      </c>
      <c r="O65" s="6">
        <f>$B$18*$B$21*$K$65</f>
        <v>21697463.30477041</v>
      </c>
      <c r="P65" s="6">
        <f>$B$18*$B$21*$D$65/$D$47</f>
        <v>159457.19836215809</v>
      </c>
      <c r="Q65" s="6">
        <f>R64/$G$65</f>
        <v>139876.38712286929</v>
      </c>
      <c r="R65" s="6">
        <f>R64-$Q$65</f>
        <v>210390.80569885703</v>
      </c>
      <c r="S65" s="6">
        <f>$B$20*$R$65</f>
        <v>6311.724170965711</v>
      </c>
      <c r="T65" s="6">
        <f t="shared" si="7"/>
        <v>146188.11129383501</v>
      </c>
      <c r="U65" s="6">
        <f t="shared" si="8"/>
        <v>224966.88054277765</v>
      </c>
      <c r="V65" s="11">
        <f>V$64*$D$62/$D$47</f>
        <v>6.7826761320583173E-7</v>
      </c>
      <c r="W65" s="14">
        <f t="shared" si="9"/>
        <v>2.0348028396174951E-2</v>
      </c>
      <c r="X65" s="14">
        <f t="shared" si="12"/>
        <v>16440.973604733528</v>
      </c>
      <c r="Y65" s="14">
        <f t="shared" si="13"/>
        <v>26970.573847272924</v>
      </c>
      <c r="Z65" s="14">
        <f t="shared" si="10"/>
        <v>809.1172154181877</v>
      </c>
      <c r="AA65" s="14">
        <f t="shared" si="11"/>
        <v>17250.090820151716</v>
      </c>
      <c r="AB65" s="14">
        <f>W65*(VLOOKUP(102,$A$24:$K$72,11,FALSE)-1)</f>
        <v>3.1200328230849866E-2</v>
      </c>
      <c r="AC65" s="11">
        <f>AC$64*$D$61/$D$47</f>
        <v>1.1141759751575068E-5</v>
      </c>
      <c r="AD65" s="14">
        <f t="shared" si="14"/>
        <v>0.33425279254725204</v>
      </c>
      <c r="AE65" s="14">
        <f t="shared" si="17"/>
        <v>23160.522537412991</v>
      </c>
      <c r="AF65" s="14">
        <f t="shared" si="18"/>
        <v>41254.604245525072</v>
      </c>
      <c r="AG65" s="14">
        <f t="shared" si="15"/>
        <v>1237.6381273657521</v>
      </c>
      <c r="AH65" s="14">
        <f t="shared" si="16"/>
        <v>24398.160664778745</v>
      </c>
      <c r="AI65" s="14">
        <f>AD65*(VLOOKUP(101,$A$24:$K$72,11,FALSE)-1)</f>
        <v>0.5545958888210526</v>
      </c>
      <c r="AJ65" s="11">
        <f>AJ$64*$D$60/$D$47</f>
        <v>1.3388898741261286E-4</v>
      </c>
      <c r="AK65" s="14">
        <f t="shared" si="19"/>
        <v>4.0166696223783855</v>
      </c>
      <c r="AL65" s="14">
        <f t="shared" si="22"/>
        <v>32705.26576700342</v>
      </c>
      <c r="AM65" s="14">
        <f t="shared" si="23"/>
        <v>63036.258761066929</v>
      </c>
      <c r="AN65" s="14">
        <f t="shared" si="20"/>
        <v>1891.0877628320077</v>
      </c>
      <c r="AO65" s="14">
        <f t="shared" si="21"/>
        <v>34596.353529835425</v>
      </c>
      <c r="AP65" s="14">
        <f>AK65*(VLOOKUP(100,$A$24:$K$72,11,FALSE)-1)</f>
        <v>7.1864582991299146</v>
      </c>
      <c r="AQ65" s="11">
        <f>AQ$64*$D$59/$D$47</f>
        <v>1.3355549424666979E-3</v>
      </c>
      <c r="AR65" s="14">
        <f t="shared" si="24"/>
        <v>40.066648274000933</v>
      </c>
      <c r="AS65" s="14">
        <f t="shared" si="27"/>
        <v>51455.074252687125</v>
      </c>
      <c r="AT65" s="14">
        <f t="shared" si="28"/>
        <v>107007.40149707152</v>
      </c>
      <c r="AU65" s="14">
        <f t="shared" si="25"/>
        <v>3210.2220449121455</v>
      </c>
      <c r="AV65" s="14">
        <f t="shared" si="26"/>
        <v>54665.29629759927</v>
      </c>
      <c r="AW65" s="14">
        <f>AR65*(VLOOKUP(99,$A$24:$K$72,11,FALSE)-1)</f>
        <v>77.07648925363651</v>
      </c>
      <c r="AX65" s="11">
        <f>AX$64*$D$58/$D$47</f>
        <v>1.0451842491984557E-2</v>
      </c>
      <c r="AY65" s="14">
        <f t="shared" si="29"/>
        <v>313.5552747595367</v>
      </c>
      <c r="AZ65" s="14">
        <f t="shared" si="32"/>
        <v>83337.984197227284</v>
      </c>
      <c r="BA65" s="14">
        <f t="shared" si="33"/>
        <v>186533.19871278893</v>
      </c>
      <c r="BB65" s="14">
        <f t="shared" si="30"/>
        <v>5595.9959613836672</v>
      </c>
      <c r="BC65" s="14">
        <f t="shared" si="31"/>
        <v>88933.980158610953</v>
      </c>
      <c r="BD65" s="14">
        <f>AY65*(VLOOKUP(98,$A$24:$K$72,11,FALSE)-1)</f>
        <v>646.88285876764633</v>
      </c>
      <c r="BE65" s="11">
        <f>BE$64*$D$57/$D$47</f>
        <v>5.9525110427995964E-2</v>
      </c>
      <c r="BF65" s="14">
        <f t="shared" si="34"/>
        <v>1785.7533128398788</v>
      </c>
      <c r="BG65" s="14">
        <f t="shared" si="37"/>
        <v>125429.81282742135</v>
      </c>
      <c r="BH65" s="14">
        <f t="shared" si="38"/>
        <v>302560.52823727799</v>
      </c>
      <c r="BI65" s="14">
        <f t="shared" si="35"/>
        <v>9076.8158471183397</v>
      </c>
      <c r="BJ65" s="14">
        <f t="shared" si="36"/>
        <v>134506.62867453968</v>
      </c>
      <c r="BK65" s="14">
        <f>BF65*(VLOOKUP(97,$A$24:$K$72,11,FALSE)-1)</f>
        <v>3955.8288920145187</v>
      </c>
      <c r="BL65" s="11">
        <f>BL$64*$D$56/$D$47</f>
        <v>0.25874257822586061</v>
      </c>
      <c r="BM65" s="14">
        <f t="shared" si="39"/>
        <v>7762.2773467758179</v>
      </c>
      <c r="BN65" s="14">
        <f t="shared" si="42"/>
        <v>179163.94106528469</v>
      </c>
      <c r="BO65" s="14">
        <f t="shared" si="43"/>
        <v>467125.95684020361</v>
      </c>
      <c r="BP65" s="14">
        <f t="shared" si="40"/>
        <v>14013.778705206108</v>
      </c>
      <c r="BQ65" s="14">
        <f t="shared" si="41"/>
        <v>193177.7197704908</v>
      </c>
      <c r="BR65" s="14">
        <f>BM65*(VLOOKUP(96,$A$24:$K$72,11,FALSE)-1)</f>
        <v>18514.51132739384</v>
      </c>
      <c r="BS65" s="11">
        <f>BS$64*$D$55/$D$47</f>
        <v>0.89371666454805687</v>
      </c>
      <c r="BT65" s="14">
        <f t="shared" si="44"/>
        <v>26811.499936441705</v>
      </c>
      <c r="BU65" s="14">
        <f t="shared" si="47"/>
        <v>246484.02535587471</v>
      </c>
      <c r="BV65" s="14">
        <f t="shared" si="48"/>
        <v>697078.36049016018</v>
      </c>
      <c r="BW65" s="14">
        <f t="shared" si="45"/>
        <v>20912.350814704805</v>
      </c>
      <c r="BX65" s="14">
        <f t="shared" si="46"/>
        <v>267396.37617057952</v>
      </c>
      <c r="BY65" s="14">
        <f>BT65*(VLOOKUP(95,$A$24:$K$72,11,FALSE)-1)</f>
        <v>69084.891683145208</v>
      </c>
      <c r="BZ65" s="11">
        <f>BZ$64*$D$54/$D$47</f>
        <v>2.5260614442548985</v>
      </c>
      <c r="CA65" s="14">
        <f t="shared" si="49"/>
        <v>75781.843327646959</v>
      </c>
      <c r="CB65" s="14">
        <f t="shared" si="52"/>
        <v>328295.65481533972</v>
      </c>
      <c r="CC65" s="14">
        <f t="shared" si="53"/>
        <v>1010548.2136829915</v>
      </c>
      <c r="CD65" s="14">
        <f t="shared" si="50"/>
        <v>30316.446410489742</v>
      </c>
      <c r="CE65" s="14">
        <f t="shared" si="51"/>
        <v>358612.10122582945</v>
      </c>
      <c r="CF65" s="14">
        <f>CA65*(VLOOKUP(94,$A$24:$K$72,11,FALSE)-1)</f>
        <v>211601.70242874816</v>
      </c>
      <c r="CG65" s="11">
        <f>CG$64*$D$53/$D$47</f>
        <v>5.8744330772052979</v>
      </c>
      <c r="CH65" s="14">
        <f t="shared" si="54"/>
        <v>176232.99231615892</v>
      </c>
      <c r="CI65" s="14">
        <f t="shared" si="57"/>
        <v>416559.1146932824</v>
      </c>
      <c r="CJ65" s="14">
        <f t="shared" si="58"/>
        <v>1399978.4647692461</v>
      </c>
      <c r="CK65" s="14">
        <f t="shared" si="55"/>
        <v>41999.353943077382</v>
      </c>
      <c r="CL65" s="14">
        <f t="shared" si="56"/>
        <v>458558.46863635979</v>
      </c>
      <c r="CM65" s="14">
        <f>CH65*(VLOOKUP(93,$A$24:$K$72,11,FALSE)-1)</f>
        <v>534720.25912481279</v>
      </c>
      <c r="CN65" s="11">
        <f>CN$64*$D$52/$D$47</f>
        <v>11.495075913347941</v>
      </c>
      <c r="CO65" s="14">
        <f t="shared" si="59"/>
        <v>344852.27740043821</v>
      </c>
      <c r="CP65" s="14">
        <f t="shared" si="62"/>
        <v>508213.99402138725</v>
      </c>
      <c r="CQ65" s="14">
        <f t="shared" si="63"/>
        <v>1867615.0218528551</v>
      </c>
      <c r="CR65" s="14">
        <f t="shared" si="60"/>
        <v>56028.45065558565</v>
      </c>
      <c r="CS65" s="14">
        <f t="shared" si="61"/>
        <v>564242.44467697293</v>
      </c>
      <c r="CT65" s="14">
        <f>CO65*(VLOOKUP(92,$A$24:$K$72,11,FALSE)-1)</f>
        <v>1138210.7867051626</v>
      </c>
      <c r="CU65" s="11">
        <f>CU$64*$D$51/$D$47</f>
        <v>19.339407413328495</v>
      </c>
      <c r="CV65" s="14">
        <f t="shared" si="64"/>
        <v>580182.2223998548</v>
      </c>
      <c r="CW65" s="14">
        <f t="shared" si="67"/>
        <v>605248.04935141245</v>
      </c>
      <c r="CX65" s="14">
        <f t="shared" si="68"/>
        <v>2421442.959853325</v>
      </c>
      <c r="CY65" s="14">
        <f t="shared" si="65"/>
        <v>72643.288795599743</v>
      </c>
      <c r="CZ65" s="14">
        <f t="shared" si="66"/>
        <v>677891.33814701217</v>
      </c>
      <c r="DA65" s="14">
        <f>CV65*(VLOOKUP(91,$A$24:$K$72,11,FALSE)-1)</f>
        <v>2073127.4169257884</v>
      </c>
      <c r="DB65" s="11">
        <f>DB$64*$D$50/$D$47</f>
        <v>28.503045728960508</v>
      </c>
      <c r="DC65" s="14">
        <f t="shared" si="69"/>
        <v>855091.37186881527</v>
      </c>
      <c r="DD65" s="14">
        <f t="shared" si="72"/>
        <v>707637.01358834968</v>
      </c>
      <c r="DE65" s="14">
        <f t="shared" si="73"/>
        <v>3069124.991529467</v>
      </c>
      <c r="DF65" s="14">
        <f t="shared" si="70"/>
        <v>92073.749745884008</v>
      </c>
      <c r="DG65" s="14">
        <f t="shared" si="71"/>
        <v>799710.76333423366</v>
      </c>
      <c r="DH65" s="14">
        <f>DC65*(VLOOKUP(90,$A$24:$K$72,11,FALSE)-1)</f>
        <v>3292821.3084885627</v>
      </c>
      <c r="DI65" s="11">
        <f>DI$64*$D$49/$D$47</f>
        <v>37.541720270601047</v>
      </c>
      <c r="DJ65" s="14">
        <f t="shared" si="74"/>
        <v>1126251.6081180314</v>
      </c>
      <c r="DK65" s="14">
        <f t="shared" si="77"/>
        <v>811913.97996652394</v>
      </c>
      <c r="DL65" s="14">
        <f t="shared" si="78"/>
        <v>3815473.636250875</v>
      </c>
      <c r="DM65" s="14">
        <f t="shared" si="75"/>
        <v>114464.20908752625</v>
      </c>
      <c r="DN65" s="14">
        <f t="shared" si="76"/>
        <v>926378.18905405025</v>
      </c>
      <c r="DO65" s="14">
        <f>DJ65*(VLOOKUP(89,$A$24:$K$72,11,FALSE)-1)</f>
        <v>4670298.5160259446</v>
      </c>
      <c r="DP65" s="11">
        <f>DP$64*$D$48/$D$47</f>
        <v>44.785739061785293</v>
      </c>
      <c r="DQ65" s="14">
        <f t="shared" si="79"/>
        <v>1343572.1718535589</v>
      </c>
      <c r="DR65" s="14">
        <f t="shared" si="82"/>
        <v>911441.0049281565</v>
      </c>
      <c r="DS65" s="14">
        <f t="shared" si="83"/>
        <v>4659581.0123927118</v>
      </c>
      <c r="DT65" s="14">
        <f t="shared" si="80"/>
        <v>139787.43037178135</v>
      </c>
      <c r="DU65" s="14">
        <f t="shared" si="81"/>
        <v>1051228.4352999378</v>
      </c>
      <c r="DV65" s="14">
        <f>DQ65*(VLOOKUP(88,$A$24:$K$72,11,FALSE)-1)</f>
        <v>6022133.6555493167</v>
      </c>
      <c r="DW65" s="11">
        <f>DW$64*$D$47/$D$47</f>
        <v>48.792797438634047</v>
      </c>
      <c r="DX65" s="14">
        <f t="shared" si="84"/>
        <v>1463783.9231590214</v>
      </c>
      <c r="DY65" s="14">
        <f t="shared" si="87"/>
        <v>1008615.6650759438</v>
      </c>
      <c r="DZ65" s="14">
        <f t="shared" si="88"/>
        <v>5602121.8230259875</v>
      </c>
      <c r="EA65" s="14">
        <f t="shared" si="85"/>
        <v>168063.65469077963</v>
      </c>
      <c r="EB65" s="14">
        <f t="shared" si="86"/>
        <v>1176679.3197667236</v>
      </c>
      <c r="EC65" s="14">
        <f>DX65*(VLOOKUP(87,$A$24:$K$72,11,FALSE)-1)</f>
        <v>7079680.2936461736</v>
      </c>
      <c r="ED65" s="11">
        <f>ED$64*$D$46/$D$47</f>
        <v>48.962221778866144</v>
      </c>
      <c r="EE65" s="14">
        <f t="shared" si="89"/>
        <v>1468866.6533659843</v>
      </c>
      <c r="EF65" s="14">
        <f t="shared" ref="EF65:EF88" si="92">EG64/$G48</f>
        <v>1106744.5644489382</v>
      </c>
      <c r="EG65" s="14">
        <f t="shared" ref="EG65:EG88" si="93">EG64-EF65</f>
        <v>6633692.1022286974</v>
      </c>
      <c r="EH65" s="14">
        <f t="shared" si="90"/>
        <v>199010.76306686091</v>
      </c>
      <c r="EI65" s="14">
        <f t="shared" si="91"/>
        <v>1305755.3275157991</v>
      </c>
      <c r="EJ65" s="14">
        <f>EE65*(VLOOKUP(86,$A$24:$K$72,11,FALSE)-1)</f>
        <v>7611774.0553442603</v>
      </c>
      <c r="EK65" s="11">
        <f>($N64-$N65)+(ED64-ED65)+(DW64-DW65)+(DP64-DP65)+(DI64-DI65)+(DB64-DB65)+(CU64-CU65)+(CN64-CN65)+(CG64-CG65)+(BZ64-BZ65)+(BS64-BS65)+(BL64-BL65)+(BE64-BE65)+(AX64-AX65)+(AQ64-AQ65)+(AJ64-AJ65)+(AC64-AC65)+(V64-V65)</f>
        <v>45.640340467959938</v>
      </c>
      <c r="EL65" s="14">
        <f t="shared" ref="EL65:EL89" si="94">EK65*$B$21</f>
        <v>1369210.2140387981</v>
      </c>
      <c r="EM65" s="14">
        <f>EL$46/$G47</f>
        <v>1201075.7740550428</v>
      </c>
      <c r="EN65" s="14">
        <f>EL$46-EM65</f>
        <v>7753363.9762965608</v>
      </c>
      <c r="EO65" s="14">
        <f t="shared" ref="EO65:EO89" si="95">$B$20*EN65</f>
        <v>232600.91928889681</v>
      </c>
      <c r="EP65" s="14">
        <f t="shared" ref="EP65:EP89" si="96">EM65+EO65</f>
        <v>1433676.6933439395</v>
      </c>
      <c r="EQ65" s="14">
        <f>EL65*(VLOOKUP(85,$A$24:$K$72,11,FALSE)-1)</f>
        <v>7585229.5363128139</v>
      </c>
      <c r="EZ65" s="15"/>
      <c r="FA65" s="14"/>
      <c r="FB65" s="14"/>
      <c r="FD65" s="14"/>
      <c r="FE65" s="15"/>
      <c r="FF65" s="14"/>
      <c r="FG65" s="14"/>
      <c r="HR65" s="15"/>
      <c r="HS65" s="15"/>
      <c r="HT65" s="15"/>
      <c r="HU65" s="14"/>
      <c r="HV65" s="14"/>
      <c r="NC65" s="15">
        <v>19</v>
      </c>
      <c r="ND65" s="15">
        <f>N65+V65+AC65+AJ65+AQ65+AX65+BE65+BL65+BS65+BZ65+CG65+CN65+CU65+DB65+DI65+DP65+DW65+ED65+EK65</f>
        <v>300</v>
      </c>
      <c r="NE65" s="14">
        <f>P65+W65+AD65+AK65+AR65+AY65+BF65+BM65+BT65+CA65+CH65+CO65+CV65+DC65+DJ65+DQ65+DX65+EE65+EL65</f>
        <v>9000000.0000000019</v>
      </c>
      <c r="NF65" s="14">
        <f>T65+AA65+AH65+AO65+AV65+BC65+BJ65+BQ65+BX65+CE65+CL65+CS65+CZ65+DG65+DN65+DU65+EB65+EI65+EP65</f>
        <v>9713845.7983812783</v>
      </c>
      <c r="NH65" s="14">
        <f>U65+AB65+AI65+AP65+AW65+BD65+BK65+BR65+BY65+CF65+CM65+CT65+DA65+DH65+DO65+DV65+EC65+EJ65+EQ65</f>
        <v>40536851.374599449</v>
      </c>
      <c r="NI65" s="14">
        <f>R65+Y65+AF65+AM65+AT65+BA65+BH65+BO65+BV65+CC65+CJ65+CQ65+CX65+DE65+DL65+DS65+DZ65+EG65+EN65</f>
        <v>40334899.890212938</v>
      </c>
    </row>
    <row r="66" spans="1:373" x14ac:dyDescent="0.25">
      <c r="A66" s="1">
        <f>'CCRC F'!A66</f>
        <v>104</v>
      </c>
      <c r="B66" s="3">
        <f>'CCRC F'!B66</f>
        <v>0.38750000000000001</v>
      </c>
      <c r="D66">
        <f t="shared" si="5"/>
        <v>52.528353079679917</v>
      </c>
      <c r="E66">
        <f t="shared" si="6"/>
        <v>20.354736818375969</v>
      </c>
      <c r="F66">
        <f t="shared" si="0"/>
        <v>124.54117553825692</v>
      </c>
      <c r="G66">
        <f t="shared" si="2"/>
        <v>2.3709324248057277</v>
      </c>
      <c r="I66">
        <f t="shared" si="3"/>
        <v>2.4284122515133584</v>
      </c>
      <c r="J66">
        <f t="shared" si="1"/>
        <v>5.5625115097413378</v>
      </c>
      <c r="K66" s="18">
        <f t="shared" si="4"/>
        <v>2.2905960494454125</v>
      </c>
      <c r="M66">
        <v>20</v>
      </c>
      <c r="N66" s="9">
        <f>$B$18*$D$66/$D$47</f>
        <v>3.3719882213651027</v>
      </c>
      <c r="O66" s="6">
        <f>$B$18*$B$21*$K$66</f>
        <v>20615364.445008714</v>
      </c>
      <c r="P66" s="6">
        <f>$B$18*$B$21*$D$66/$D$47</f>
        <v>101159.64664095308</v>
      </c>
      <c r="Q66" s="6">
        <f>R65/$G$66</f>
        <v>88737.579990748272</v>
      </c>
      <c r="R66" s="6">
        <f>R65-$Q$66</f>
        <v>121653.22570810876</v>
      </c>
      <c r="S66" s="6">
        <f>$B$20*$R$66</f>
        <v>3649.5967712432625</v>
      </c>
      <c r="T66" s="6">
        <f t="shared" si="7"/>
        <v>92387.176761991534</v>
      </c>
      <c r="U66" s="6">
        <f t="shared" si="8"/>
        <v>130556.24031810794</v>
      </c>
      <c r="V66" s="11">
        <f>V$65*$D$63/$D$47</f>
        <v>2.7192476627705392E-8</v>
      </c>
      <c r="W66" s="14">
        <f t="shared" si="9"/>
        <v>8.1577429883116176E-4</v>
      </c>
      <c r="X66" s="14">
        <f t="shared" si="12"/>
        <v>10770.481808460936</v>
      </c>
      <c r="Y66" s="14">
        <f t="shared" si="13"/>
        <v>16200.092038811988</v>
      </c>
      <c r="Z66" s="14">
        <f t="shared" si="10"/>
        <v>486.00276116435964</v>
      </c>
      <c r="AA66" s="14">
        <f t="shared" si="11"/>
        <v>11256.484569625296</v>
      </c>
      <c r="AB66" s="14">
        <f>W66*(VLOOKUP(103,$A$24:$K$72,11,FALSE)-1)</f>
        <v>1.150918247153721E-3</v>
      </c>
      <c r="AC66" s="11">
        <f>AC$65*$D$62/$D$47</f>
        <v>6.4456725451444678E-7</v>
      </c>
      <c r="AD66" s="14">
        <f t="shared" si="14"/>
        <v>1.9337017635433402E-2</v>
      </c>
      <c r="AE66" s="14">
        <f t="shared" si="17"/>
        <v>15624.088503738802</v>
      </c>
      <c r="AF66" s="14">
        <f t="shared" si="18"/>
        <v>25630.515741786272</v>
      </c>
      <c r="AG66" s="14">
        <f t="shared" si="15"/>
        <v>768.91547225358818</v>
      </c>
      <c r="AH66" s="14">
        <f t="shared" si="16"/>
        <v>16393.003975992389</v>
      </c>
      <c r="AI66" s="14">
        <f>AD66*(VLOOKUP(102,$A$24:$K$72,11,FALSE)-1)</f>
        <v>2.9650110835537639E-2</v>
      </c>
      <c r="AJ66" s="11">
        <f>AJ$65*$D$61/$D$47</f>
        <v>1.0903259619756854E-5</v>
      </c>
      <c r="AK66" s="14">
        <f t="shared" si="19"/>
        <v>0.32709778859270561</v>
      </c>
      <c r="AL66" s="14">
        <f t="shared" si="22"/>
        <v>22664.749176533365</v>
      </c>
      <c r="AM66" s="14">
        <f t="shared" si="23"/>
        <v>40371.50958453356</v>
      </c>
      <c r="AN66" s="14">
        <f t="shared" si="20"/>
        <v>1211.1452875360067</v>
      </c>
      <c r="AO66" s="14">
        <f t="shared" si="21"/>
        <v>23875.894464069373</v>
      </c>
      <c r="AP66" s="14">
        <f>AK66*(VLOOKUP(101,$A$24:$K$72,11,FALSE)-1)</f>
        <v>0.54272422801173004</v>
      </c>
      <c r="AQ66" s="11">
        <f>AQ$65*$D$60/$D$47</f>
        <v>1.4964366509431651E-4</v>
      </c>
      <c r="AR66" s="14">
        <f t="shared" si="24"/>
        <v>4.4893099528294957</v>
      </c>
      <c r="AS66" s="14">
        <f t="shared" si="27"/>
        <v>36553.684749108928</v>
      </c>
      <c r="AT66" s="14">
        <f t="shared" si="28"/>
        <v>70453.716747962593</v>
      </c>
      <c r="AU66" s="14">
        <f t="shared" si="25"/>
        <v>2113.6115024388778</v>
      </c>
      <c r="AV66" s="14">
        <f t="shared" si="26"/>
        <v>38667.296251547807</v>
      </c>
      <c r="AW66" s="14">
        <f>AR66*(VLOOKUP(100,$A$24:$K$72,11,FALSE)-1)</f>
        <v>8.03208672879963</v>
      </c>
      <c r="AX66" s="11">
        <f>AX$65*$D$59/$D$47</f>
        <v>1.5721408762311782E-3</v>
      </c>
      <c r="AY66" s="14">
        <f t="shared" si="29"/>
        <v>47.164226286935346</v>
      </c>
      <c r="AZ66" s="14">
        <f t="shared" si="32"/>
        <v>60570.046914544786</v>
      </c>
      <c r="BA66" s="14">
        <f t="shared" si="33"/>
        <v>125963.15179824414</v>
      </c>
      <c r="BB66" s="14">
        <f t="shared" si="30"/>
        <v>3778.8945539473243</v>
      </c>
      <c r="BC66" s="14">
        <f t="shared" si="31"/>
        <v>64348.941468492107</v>
      </c>
      <c r="BD66" s="14">
        <f>AY66*(VLOOKUP(99,$A$24:$K$72,11,FALSE)-1)</f>
        <v>90.73014931772947</v>
      </c>
      <c r="BE66" s="11">
        <f>BE$65*$D$58/$D$47</f>
        <v>1.1717868322688223E-2</v>
      </c>
      <c r="BF66" s="14">
        <f t="shared" si="34"/>
        <v>351.53604968064667</v>
      </c>
      <c r="BG66" s="14">
        <f t="shared" si="37"/>
        <v>93432.667575146159</v>
      </c>
      <c r="BH66" s="14">
        <f t="shared" si="38"/>
        <v>209127.86066213183</v>
      </c>
      <c r="BI66" s="14">
        <f t="shared" si="35"/>
        <v>6273.8358198639544</v>
      </c>
      <c r="BJ66" s="14">
        <f t="shared" si="36"/>
        <v>99706.503395010106</v>
      </c>
      <c r="BK66" s="14">
        <f>BF66*(VLOOKUP(98,$A$24:$K$72,11,FALSE)-1)</f>
        <v>725.23941736172526</v>
      </c>
      <c r="BL66" s="11">
        <f>BL$65*$D$57/$D$47</f>
        <v>6.4968111419348509E-2</v>
      </c>
      <c r="BM66" s="14">
        <f t="shared" si="39"/>
        <v>1949.0433425804554</v>
      </c>
      <c r="BN66" s="14">
        <f t="shared" si="42"/>
        <v>136899.16736798402</v>
      </c>
      <c r="BO66" s="14">
        <f t="shared" si="43"/>
        <v>330226.78947221959</v>
      </c>
      <c r="BP66" s="14">
        <f t="shared" si="40"/>
        <v>9906.8036841665871</v>
      </c>
      <c r="BQ66" s="14">
        <f t="shared" si="41"/>
        <v>146805.97105215059</v>
      </c>
      <c r="BR66" s="14">
        <f>BM66*(VLOOKUP(97,$A$24:$K$72,11,FALSE)-1)</f>
        <v>4317.5515402555766</v>
      </c>
      <c r="BS66" s="11">
        <f>BS$65*$D$56/$D$47</f>
        <v>0.27907577203853479</v>
      </c>
      <c r="BT66" s="14">
        <f t="shared" si="44"/>
        <v>8372.273161156043</v>
      </c>
      <c r="BU66" s="14">
        <f t="shared" si="47"/>
        <v>193243.47587900577</v>
      </c>
      <c r="BV66" s="14">
        <f t="shared" si="48"/>
        <v>503834.88461115444</v>
      </c>
      <c r="BW66" s="14">
        <f t="shared" si="45"/>
        <v>15115.046538334633</v>
      </c>
      <c r="BX66" s="14">
        <f t="shared" si="46"/>
        <v>208358.5224173404</v>
      </c>
      <c r="BY66" s="14">
        <f>BT66*(VLOOKUP(96,$A$24:$K$72,11,FALSE)-1)</f>
        <v>19969.467638597609</v>
      </c>
      <c r="BZ66" s="11">
        <f>BZ$65*$D$55/$D$47</f>
        <v>0.95716382132800515</v>
      </c>
      <c r="CA66" s="14">
        <f t="shared" si="49"/>
        <v>28714.914639840154</v>
      </c>
      <c r="CB66" s="14">
        <f t="shared" si="52"/>
        <v>263982.53603701456</v>
      </c>
      <c r="CC66" s="14">
        <f t="shared" si="53"/>
        <v>746565.67764597689</v>
      </c>
      <c r="CD66" s="14">
        <f t="shared" si="50"/>
        <v>22396.970329379306</v>
      </c>
      <c r="CE66" s="14">
        <f t="shared" si="51"/>
        <v>286379.50636639388</v>
      </c>
      <c r="CF66" s="14">
        <f>CA66*(VLOOKUP(95,$A$24:$K$72,11,FALSE)-1)</f>
        <v>73989.399037232433</v>
      </c>
      <c r="CG66" s="11">
        <f>CG$65*$D$54/$D$47</f>
        <v>2.6414070421872884</v>
      </c>
      <c r="CH66" s="14">
        <f t="shared" si="54"/>
        <v>79242.211265618651</v>
      </c>
      <c r="CI66" s="14">
        <f t="shared" si="57"/>
        <v>343286.36641873413</v>
      </c>
      <c r="CJ66" s="14">
        <f t="shared" si="58"/>
        <v>1056692.0983505119</v>
      </c>
      <c r="CK66" s="14">
        <f t="shared" si="55"/>
        <v>31700.762950515356</v>
      </c>
      <c r="CL66" s="14">
        <f t="shared" si="56"/>
        <v>374987.12936924951</v>
      </c>
      <c r="CM66" s="14">
        <f>CH66*(VLOOKUP(94,$A$24:$K$72,11,FALSE)-1)</f>
        <v>221263.90797234882</v>
      </c>
      <c r="CN66" s="11">
        <f>CN$65*$D$53/$D$47</f>
        <v>6.0396105117208858</v>
      </c>
      <c r="CO66" s="14">
        <f t="shared" si="59"/>
        <v>181188.31535162657</v>
      </c>
      <c r="CP66" s="14">
        <f t="shared" si="62"/>
        <v>428271.93276182294</v>
      </c>
      <c r="CQ66" s="14">
        <f t="shared" si="63"/>
        <v>1439343.0890910323</v>
      </c>
      <c r="CR66" s="14">
        <f t="shared" si="60"/>
        <v>43180.292672730968</v>
      </c>
      <c r="CS66" s="14">
        <f t="shared" si="61"/>
        <v>471452.22543455393</v>
      </c>
      <c r="CT66" s="14">
        <f>CO66*(VLOOKUP(93,$A$24:$K$72,11,FALSE)-1)</f>
        <v>549755.53477183171</v>
      </c>
      <c r="CU66" s="11">
        <f>CU$65*$D$52/$D$47</f>
        <v>11.715771824225104</v>
      </c>
      <c r="CV66" s="14">
        <f t="shared" si="64"/>
        <v>351473.15472675313</v>
      </c>
      <c r="CW66" s="14">
        <f t="shared" si="67"/>
        <v>517971.28063493891</v>
      </c>
      <c r="CX66" s="14">
        <f t="shared" si="68"/>
        <v>1903471.6792183861</v>
      </c>
      <c r="CY66" s="14">
        <f t="shared" si="65"/>
        <v>57104.150376551581</v>
      </c>
      <c r="CZ66" s="14">
        <f t="shared" si="66"/>
        <v>575075.43101149052</v>
      </c>
      <c r="DA66" s="14">
        <f>CV66*(VLOOKUP(92,$A$24:$K$72,11,FALSE)-1)</f>
        <v>1160063.488525985</v>
      </c>
      <c r="DB66" s="11">
        <f>DB$65*$D$51/$D$47</f>
        <v>19.610544463609539</v>
      </c>
      <c r="DC66" s="14">
        <f t="shared" si="69"/>
        <v>588316.33390828618</v>
      </c>
      <c r="DD66" s="14">
        <f t="shared" si="72"/>
        <v>613733.58188517555</v>
      </c>
      <c r="DE66" s="14">
        <f t="shared" si="73"/>
        <v>2455391.4096442917</v>
      </c>
      <c r="DF66" s="14">
        <f t="shared" si="70"/>
        <v>73661.742289328744</v>
      </c>
      <c r="DG66" s="14">
        <f t="shared" si="71"/>
        <v>687395.32417450426</v>
      </c>
      <c r="DH66" s="14">
        <f>DC66*(VLOOKUP(91,$A$24:$K$72,11,FALSE)-1)</f>
        <v>2102192.5087700519</v>
      </c>
      <c r="DI66" s="11">
        <f>DI$65*$D$50/$D$47</f>
        <v>28.795200593612549</v>
      </c>
      <c r="DJ66" s="14">
        <f t="shared" si="74"/>
        <v>863856.01780837646</v>
      </c>
      <c r="DK66" s="14">
        <f t="shared" si="77"/>
        <v>714890.25936052448</v>
      </c>
      <c r="DL66" s="14">
        <f t="shared" si="78"/>
        <v>3100583.3768903506</v>
      </c>
      <c r="DM66" s="14">
        <f t="shared" si="75"/>
        <v>93017.501306710517</v>
      </c>
      <c r="DN66" s="14">
        <f t="shared" si="76"/>
        <v>807907.76066723501</v>
      </c>
      <c r="DO66" s="14">
        <f>DJ66*(VLOOKUP(90,$A$24:$K$72,11,FALSE)-1)</f>
        <v>3326572.5704713259</v>
      </c>
      <c r="DP66" s="11">
        <f>DP$65*$D$49/$D$47</f>
        <v>37.80290337735844</v>
      </c>
      <c r="DQ66" s="14">
        <f t="shared" si="79"/>
        <v>1134087.1013207531</v>
      </c>
      <c r="DR66" s="14">
        <f t="shared" si="82"/>
        <v>817562.58142055641</v>
      </c>
      <c r="DS66" s="14">
        <f t="shared" si="83"/>
        <v>3842018.4309721552</v>
      </c>
      <c r="DT66" s="14">
        <f t="shared" si="80"/>
        <v>115260.55292916465</v>
      </c>
      <c r="DU66" s="14">
        <f t="shared" si="81"/>
        <v>932823.13434972102</v>
      </c>
      <c r="DV66" s="14">
        <f>DQ66*(VLOOKUP(89,$A$24:$K$72,11,FALSE)-1)</f>
        <v>4702790.4494564785</v>
      </c>
      <c r="DW66" s="11">
        <f>DW$65*$D$48/$D$47</f>
        <v>45.035752035859225</v>
      </c>
      <c r="DX66" s="14">
        <f t="shared" si="84"/>
        <v>1351072.5610757768</v>
      </c>
      <c r="DY66" s="14">
        <f t="shared" si="87"/>
        <v>916529.05485451024</v>
      </c>
      <c r="DZ66" s="14">
        <f t="shared" si="88"/>
        <v>4685592.7681714771</v>
      </c>
      <c r="EA66" s="14">
        <f t="shared" si="85"/>
        <v>140567.78304514432</v>
      </c>
      <c r="EB66" s="14">
        <f t="shared" si="86"/>
        <v>1057096.8378996546</v>
      </c>
      <c r="EC66" s="14">
        <f>DX66*(VLOOKUP(88,$A$24:$K$72,11,FALSE)-1)</f>
        <v>6055751.7575843753</v>
      </c>
      <c r="ED66" s="11">
        <f>ED$65*$D$47/$D$47</f>
        <v>48.962221778866144</v>
      </c>
      <c r="EE66" s="14">
        <f t="shared" si="89"/>
        <v>1468866.6533659843</v>
      </c>
      <c r="EF66" s="14">
        <f t="shared" si="92"/>
        <v>1012117.9041885542</v>
      </c>
      <c r="EG66" s="14">
        <f t="shared" si="93"/>
        <v>5621574.1980401436</v>
      </c>
      <c r="EH66" s="14">
        <f t="shared" si="90"/>
        <v>168647.22594120429</v>
      </c>
      <c r="EI66" s="14">
        <f t="shared" si="91"/>
        <v>1180765.1301297585</v>
      </c>
      <c r="EJ66" s="14">
        <f>EE66*(VLOOKUP(87,$A$24:$K$72,11,FALSE)-1)</f>
        <v>7104263.2285417132</v>
      </c>
      <c r="EK66" s="11">
        <f>EK$65*$D$46/$D$47</f>
        <v>49.043993625574828</v>
      </c>
      <c r="EL66" s="14">
        <f t="shared" si="94"/>
        <v>1471319.8087672449</v>
      </c>
      <c r="EM66" s="14">
        <f t="shared" ref="EM66:EM89" si="97">EN65/$G48</f>
        <v>1108592.9394528042</v>
      </c>
      <c r="EN66" s="14">
        <f t="shared" ref="EN66:EN89" si="98">EN65-EM66</f>
        <v>6644771.0368437562</v>
      </c>
      <c r="EO66" s="14">
        <f t="shared" si="95"/>
        <v>199343.13110531267</v>
      </c>
      <c r="EP66" s="14">
        <f t="shared" si="96"/>
        <v>1307936.0705581168</v>
      </c>
      <c r="EQ66" s="14">
        <f>EL66*(VLOOKUP(86,$A$24:$K$72,11,FALSE)-1)</f>
        <v>7624486.4854305806</v>
      </c>
      <c r="ER66" s="11">
        <f>($N65-$N66)+(EK65-EK66)+(ED65-ED66)+(DW65-DW66)+(DP65-DP66)+(DI65-DI66)+(DB65-DB66)+(CU65-CU66)+(CN65-CN66)+(CG65-CG66)+(BZ65-BZ66)+(BS65-BS66)+(BL65-BL66)+(BE65-BE66)+(AX65-AX66)+(AQ65-AQ66)+(AJ65-AJ66)+(AC65-AC66)+(V65-V66)</f>
        <v>45.665947592951646</v>
      </c>
      <c r="ES66" s="14">
        <f t="shared" ref="ES66:ES90" si="99">ER66*$B$21</f>
        <v>1369978.4277885493</v>
      </c>
      <c r="ET66" s="14">
        <f>ES$46/$G47</f>
        <v>1201749.6537227971</v>
      </c>
      <c r="EU66" s="14">
        <f>ES$46-ET66</f>
        <v>7757714.105117064</v>
      </c>
      <c r="EV66" s="14">
        <f t="shared" ref="EV66:EV90" si="100">$B$20*EU66</f>
        <v>232731.42315351192</v>
      </c>
      <c r="EW66" s="14">
        <f t="shared" ref="EW66:EW90" si="101">ET66+EV66</f>
        <v>1434481.076876309</v>
      </c>
      <c r="EX66" s="14">
        <f>ES66*(VLOOKUP(85,$A$24:$K$72,11,FALSE)-1)</f>
        <v>7589485.3310513189</v>
      </c>
      <c r="EZ66" s="15"/>
      <c r="FA66" s="14"/>
      <c r="FB66" s="14"/>
      <c r="FD66" s="14"/>
      <c r="FE66" s="15"/>
      <c r="FF66" s="14"/>
      <c r="FG66" s="14"/>
      <c r="HR66" s="15"/>
      <c r="HS66" s="15"/>
      <c r="HT66" s="15"/>
      <c r="HU66" s="14"/>
      <c r="HV66" s="14"/>
      <c r="NC66" s="15">
        <v>20</v>
      </c>
      <c r="ND66" s="15">
        <f>N66+V66+AC66+AJ66+AQ66+AX66+BE66+BL66+BS66+BZ66+CG66+CN66+CU66+DB66+DI66+DP66+DW66+ED66+EK66+ER66</f>
        <v>299.99999999999994</v>
      </c>
      <c r="NE66" s="14">
        <f>P66+W66+AD66+AK66+AR66+AY66+BF66+BM66+BT66+CA66+CH66+CO66+CV66+DC66+DJ66+DQ66+DX66+EE66+EL66+ES66</f>
        <v>9000000</v>
      </c>
      <c r="NF66" s="14">
        <f>T66+AA66+AH66+AO66+AV66+BC66+BJ66+BQ66+BX66+CE66+CL66+CS66+CZ66+DG66+DN66+DU66+EB66+EI66+EP66+EW66</f>
        <v>9818099.4211932067</v>
      </c>
      <c r="NH66" s="14">
        <f>U66+AB66+AI66+AP66+AW66+BD66+BK66+BR66+BY66+CF66+CM66+CT66+DA66+DH66+DO66+DV66+EC66+EJ66+EQ66+EX66</f>
        <v>40666282.496288866</v>
      </c>
      <c r="NI66" s="14">
        <f>R66+Y66+AF66+AM66+AT66+BA66+BH66+BO66+BV66+CC66+CJ66+CQ66+CX66+DE66+DL66+DS66+DZ66+EG66+EN66+EU66</f>
        <v>40697179.616350099</v>
      </c>
    </row>
    <row r="67" spans="1:373" x14ac:dyDescent="0.25">
      <c r="A67" s="1">
        <f>'CCRC F'!A67</f>
        <v>105</v>
      </c>
      <c r="B67" s="3">
        <f>'CCRC F'!B67</f>
        <v>0.4108</v>
      </c>
      <c r="D67">
        <f t="shared" si="5"/>
        <v>32.173616261303948</v>
      </c>
      <c r="E67">
        <f t="shared" si="6"/>
        <v>13.216921560143662</v>
      </c>
      <c r="F67">
        <f t="shared" si="0"/>
        <v>72.012822458577006</v>
      </c>
      <c r="G67">
        <f t="shared" si="2"/>
        <v>2.2382570200909839</v>
      </c>
      <c r="I67">
        <f t="shared" si="3"/>
        <v>1.4440801010212931</v>
      </c>
      <c r="J67">
        <f t="shared" si="1"/>
        <v>3.1340992582279794</v>
      </c>
      <c r="K67" s="18">
        <f t="shared" si="4"/>
        <v>2.1703084586592243</v>
      </c>
      <c r="M67">
        <v>21</v>
      </c>
      <c r="N67" s="9">
        <f>$B$18*$D$67/$D$47</f>
        <v>2.0653427855861253</v>
      </c>
      <c r="O67" s="6">
        <f>$B$18*$B$21*$K$67</f>
        <v>19532776.127933018</v>
      </c>
      <c r="P67" s="6">
        <f>$B$18*$B$21*$D$67/$D$47</f>
        <v>61960.283567583763</v>
      </c>
      <c r="Q67" s="6">
        <f>R66/$G$67</f>
        <v>54351.767744333323</v>
      </c>
      <c r="R67" s="6">
        <f>R66-$Q$67</f>
        <v>67301.457963775436</v>
      </c>
      <c r="S67" s="6">
        <f>$B$20*$R$67</f>
        <v>2019.043738913263</v>
      </c>
      <c r="T67" s="6">
        <f t="shared" si="7"/>
        <v>56370.811483246587</v>
      </c>
      <c r="U67" s="6">
        <f t="shared" si="8"/>
        <v>72512.64396006742</v>
      </c>
      <c r="V67" s="11">
        <f>V$66*$D$64/$D$47</f>
        <v>7.3543244281320345E-10</v>
      </c>
      <c r="W67" s="14">
        <f t="shared" si="9"/>
        <v>2.2062973284396104E-5</v>
      </c>
      <c r="X67" s="14">
        <f t="shared" si="12"/>
        <v>6832.7936592876158</v>
      </c>
      <c r="Y67" s="14">
        <f t="shared" si="13"/>
        <v>9367.2983795243726</v>
      </c>
      <c r="Z67" s="14">
        <f t="shared" si="10"/>
        <v>281.01895138573116</v>
      </c>
      <c r="AA67" s="14">
        <f t="shared" si="11"/>
        <v>7113.8126106733471</v>
      </c>
      <c r="AB67" s="14">
        <f>W67*(VLOOKUP(104,$A$24:$K$72,11,FALSE)-1)</f>
        <v>2.8474386159861288E-5</v>
      </c>
      <c r="AC67" s="11">
        <f>AC$66*$D$63/$D$47</f>
        <v>2.5841393075699383E-8</v>
      </c>
      <c r="AD67" s="14">
        <f t="shared" si="14"/>
        <v>7.7524179227098154E-4</v>
      </c>
      <c r="AE67" s="14">
        <f t="shared" si="17"/>
        <v>10235.34037879929</v>
      </c>
      <c r="AF67" s="14">
        <f t="shared" si="18"/>
        <v>15395.175362986982</v>
      </c>
      <c r="AG67" s="14">
        <f t="shared" si="15"/>
        <v>461.85526088960944</v>
      </c>
      <c r="AH67" s="14">
        <f t="shared" si="16"/>
        <v>10697.1956396889</v>
      </c>
      <c r="AI67" s="14">
        <f>AD67*(VLOOKUP(103,$A$24:$K$72,11,FALSE)-1)</f>
        <v>1.0937338010761372E-3</v>
      </c>
      <c r="AJ67" s="11">
        <f>AJ$66*$D$62/$D$47</f>
        <v>6.3076966969884638E-7</v>
      </c>
      <c r="AK67" s="14">
        <f t="shared" si="19"/>
        <v>1.8923090090965392E-2</v>
      </c>
      <c r="AL67" s="14">
        <f t="shared" si="22"/>
        <v>15289.639794489403</v>
      </c>
      <c r="AM67" s="14">
        <f t="shared" si="23"/>
        <v>25081.869790044155</v>
      </c>
      <c r="AN67" s="14">
        <f t="shared" si="20"/>
        <v>752.45609370132456</v>
      </c>
      <c r="AO67" s="14">
        <f t="shared" si="21"/>
        <v>16042.095888190728</v>
      </c>
      <c r="AP67" s="14">
        <f>AK67*(VLOOKUP(102,$A$24:$K$72,11,FALSE)-1)</f>
        <v>2.9015421567381353E-2</v>
      </c>
      <c r="AQ67" s="11">
        <f>AQ$66*$D$61/$D$47</f>
        <v>1.2186242965204293E-5</v>
      </c>
      <c r="AR67" s="14">
        <f t="shared" si="24"/>
        <v>0.3655872889561288</v>
      </c>
      <c r="AS67" s="14">
        <f t="shared" si="27"/>
        <v>25331.703531132487</v>
      </c>
      <c r="AT67" s="14">
        <f t="shared" si="28"/>
        <v>45122.013216830106</v>
      </c>
      <c r="AU67" s="14">
        <f t="shared" si="25"/>
        <v>1353.660396504903</v>
      </c>
      <c r="AV67" s="14">
        <f t="shared" si="26"/>
        <v>26685.363927637391</v>
      </c>
      <c r="AW67" s="14">
        <f>AR67*(VLOOKUP(101,$A$24:$K$72,11,FALSE)-1)</f>
        <v>0.6065864279402865</v>
      </c>
      <c r="AX67" s="11">
        <f>AX$66*$D$60/$D$47</f>
        <v>1.7615218609375179E-4</v>
      </c>
      <c r="AY67" s="14">
        <f t="shared" si="29"/>
        <v>5.2845655828125535</v>
      </c>
      <c r="AZ67" s="14">
        <f t="shared" si="32"/>
        <v>43028.961328092613</v>
      </c>
      <c r="BA67" s="14">
        <f t="shared" si="33"/>
        <v>82934.19047015153</v>
      </c>
      <c r="BB67" s="14">
        <f t="shared" si="30"/>
        <v>2488.0257141045458</v>
      </c>
      <c r="BC67" s="14">
        <f t="shared" si="31"/>
        <v>45516.987042197157</v>
      </c>
      <c r="BD67" s="14">
        <f>AY67*(VLOOKUP(100,$A$24:$K$72,11,FALSE)-1)</f>
        <v>9.4549250399668505</v>
      </c>
      <c r="BE67" s="11">
        <f>BE$66*$D$59/$D$47</f>
        <v>1.7625734205734957E-3</v>
      </c>
      <c r="BF67" s="14">
        <f t="shared" si="34"/>
        <v>52.877202617204873</v>
      </c>
      <c r="BG67" s="14">
        <f t="shared" si="37"/>
        <v>67906.862793616237</v>
      </c>
      <c r="BH67" s="14">
        <f t="shared" si="38"/>
        <v>141220.99786851561</v>
      </c>
      <c r="BI67" s="14">
        <f t="shared" si="35"/>
        <v>4236.6299360554685</v>
      </c>
      <c r="BJ67" s="14">
        <f t="shared" si="36"/>
        <v>72143.492729671707</v>
      </c>
      <c r="BK67" s="14">
        <f>BF67*(VLOOKUP(99,$A$24:$K$72,11,FALSE)-1)</f>
        <v>101.72024151897884</v>
      </c>
      <c r="BL67" s="11">
        <f>BL$66*$D$58/$D$47</f>
        <v>1.2789355102609144E-2</v>
      </c>
      <c r="BM67" s="14">
        <f t="shared" si="39"/>
        <v>383.6806530782743</v>
      </c>
      <c r="BN67" s="14">
        <f t="shared" si="42"/>
        <v>101976.18977241131</v>
      </c>
      <c r="BO67" s="14">
        <f t="shared" si="43"/>
        <v>228250.59969980828</v>
      </c>
      <c r="BP67" s="14">
        <f t="shared" si="40"/>
        <v>6847.5179909942481</v>
      </c>
      <c r="BQ67" s="14">
        <f t="shared" si="41"/>
        <v>108823.70776340556</v>
      </c>
      <c r="BR67" s="14">
        <f>BM67*(VLOOKUP(98,$A$24:$K$72,11,FALSE)-1)</f>
        <v>791.55561298546706</v>
      </c>
      <c r="BS67" s="11">
        <f>BS$66*$D$57/$D$47</f>
        <v>7.0073607430831769E-2</v>
      </c>
      <c r="BT67" s="14">
        <f t="shared" si="44"/>
        <v>2102.2082229249531</v>
      </c>
      <c r="BU67" s="14">
        <f t="shared" si="47"/>
        <v>147657.3399191483</v>
      </c>
      <c r="BV67" s="14">
        <f t="shared" si="48"/>
        <v>356177.54469200614</v>
      </c>
      <c r="BW67" s="14">
        <f t="shared" si="45"/>
        <v>10685.326340760184</v>
      </c>
      <c r="BX67" s="14">
        <f t="shared" si="46"/>
        <v>158342.6662599085</v>
      </c>
      <c r="BY67" s="14">
        <f>BT67*(VLOOKUP(97,$A$24:$K$72,11,FALSE)-1)</f>
        <v>4656.8447979257298</v>
      </c>
      <c r="BZ67" s="11">
        <f>BZ$66*$D$56/$D$47</f>
        <v>0.29888805143803332</v>
      </c>
      <c r="CA67" s="14">
        <f t="shared" si="49"/>
        <v>8966.6415431409987</v>
      </c>
      <c r="CB67" s="14">
        <f t="shared" si="52"/>
        <v>206962.30825301944</v>
      </c>
      <c r="CC67" s="14">
        <f t="shared" si="53"/>
        <v>539603.36939295742</v>
      </c>
      <c r="CD67" s="14">
        <f t="shared" si="50"/>
        <v>16188.101081788722</v>
      </c>
      <c r="CE67" s="14">
        <f t="shared" si="51"/>
        <v>223150.40933480815</v>
      </c>
      <c r="CF67" s="14">
        <f>CA67*(VLOOKUP(96,$A$24:$K$72,11,FALSE)-1)</f>
        <v>21387.149544214659</v>
      </c>
      <c r="CG67" s="11">
        <f>CG$66*$D$55/$D$47</f>
        <v>1.0008700556088168</v>
      </c>
      <c r="CH67" s="14">
        <f t="shared" si="54"/>
        <v>30026.101668264506</v>
      </c>
      <c r="CI67" s="14">
        <f t="shared" si="57"/>
        <v>276036.567237304</v>
      </c>
      <c r="CJ67" s="14">
        <f t="shared" si="58"/>
        <v>780655.53111320781</v>
      </c>
      <c r="CK67" s="14">
        <f t="shared" si="55"/>
        <v>23419.665933396234</v>
      </c>
      <c r="CL67" s="14">
        <f t="shared" si="56"/>
        <v>299456.23317070026</v>
      </c>
      <c r="CM67" s="14">
        <f>CH67*(VLOOKUP(95,$A$24:$K$72,11,FALSE)-1)</f>
        <v>77367.919972270553</v>
      </c>
      <c r="CN67" s="11">
        <f>CN$66*$D$54/$D$47</f>
        <v>2.7156781817178235</v>
      </c>
      <c r="CO67" s="14">
        <f t="shared" si="59"/>
        <v>81470.345451534711</v>
      </c>
      <c r="CP67" s="14">
        <f t="shared" si="62"/>
        <v>352938.89978901844</v>
      </c>
      <c r="CQ67" s="14">
        <f t="shared" si="63"/>
        <v>1086404.1893020137</v>
      </c>
      <c r="CR67" s="14">
        <f t="shared" si="60"/>
        <v>32592.125679060409</v>
      </c>
      <c r="CS67" s="14">
        <f t="shared" si="61"/>
        <v>385531.02546807885</v>
      </c>
      <c r="CT67" s="14">
        <f>CO67*(VLOOKUP(94,$A$24:$K$72,11,FALSE)-1)</f>
        <v>227485.4112543563</v>
      </c>
      <c r="CU67" s="11">
        <f>CU$66*$D$53/$D$47</f>
        <v>6.1555660176501465</v>
      </c>
      <c r="CV67" s="14">
        <f t="shared" si="64"/>
        <v>184666.98052950439</v>
      </c>
      <c r="CW67" s="14">
        <f t="shared" si="67"/>
        <v>436494.39819106297</v>
      </c>
      <c r="CX67" s="14">
        <f t="shared" si="68"/>
        <v>1466977.2810273231</v>
      </c>
      <c r="CY67" s="14">
        <f t="shared" si="65"/>
        <v>44009.318430819694</v>
      </c>
      <c r="CZ67" s="14">
        <f t="shared" si="66"/>
        <v>480503.71662188263</v>
      </c>
      <c r="DA67" s="14">
        <f>CV67*(VLOOKUP(93,$A$24:$K$72,11,FALSE)-1)</f>
        <v>560310.38446754741</v>
      </c>
      <c r="DB67" s="11">
        <f>DB$66*$D$52/$D$47</f>
        <v>11.880026071849926</v>
      </c>
      <c r="DC67" s="14">
        <f t="shared" si="69"/>
        <v>356400.78215549776</v>
      </c>
      <c r="DD67" s="14">
        <f t="shared" si="72"/>
        <v>525233.1993773334</v>
      </c>
      <c r="DE67" s="14">
        <f t="shared" si="73"/>
        <v>1930158.2102669585</v>
      </c>
      <c r="DF67" s="14">
        <f t="shared" si="70"/>
        <v>57904.746308008755</v>
      </c>
      <c r="DG67" s="14">
        <f t="shared" si="71"/>
        <v>583137.94568534219</v>
      </c>
      <c r="DH67" s="14">
        <f>DC67*(VLOOKUP(92,$A$24:$K$72,11,FALSE)-1)</f>
        <v>1176327.4921583247</v>
      </c>
      <c r="DI67" s="11">
        <f>DI$66*$D$51/$D$47</f>
        <v>19.811551612740182</v>
      </c>
      <c r="DJ67" s="14">
        <f t="shared" si="74"/>
        <v>594346.54838220542</v>
      </c>
      <c r="DK67" s="14">
        <f t="shared" si="77"/>
        <v>620024.32194338273</v>
      </c>
      <c r="DL67" s="14">
        <f t="shared" si="78"/>
        <v>2480559.0549469679</v>
      </c>
      <c r="DM67" s="14">
        <f t="shared" si="75"/>
        <v>74416.771648409034</v>
      </c>
      <c r="DN67" s="14">
        <f t="shared" si="76"/>
        <v>694441.09359179181</v>
      </c>
      <c r="DO67" s="14">
        <f>DJ67*(VLOOKUP(91,$A$24:$K$72,11,FALSE)-1)</f>
        <v>2123739.8821178842</v>
      </c>
      <c r="DP67" s="11">
        <f>DP$66*$D$50/$D$47</f>
        <v>28.995532914468704</v>
      </c>
      <c r="DQ67" s="14">
        <f t="shared" si="79"/>
        <v>869865.98743406113</v>
      </c>
      <c r="DR67" s="14">
        <f t="shared" si="82"/>
        <v>719863.85294080002</v>
      </c>
      <c r="DS67" s="14">
        <f t="shared" si="83"/>
        <v>3122154.578031355</v>
      </c>
      <c r="DT67" s="14">
        <f t="shared" si="80"/>
        <v>93664.637340940651</v>
      </c>
      <c r="DU67" s="14">
        <f t="shared" si="81"/>
        <v>813528.49028174067</v>
      </c>
      <c r="DV67" s="14">
        <f>DQ67*(VLOOKUP(90,$A$24:$K$72,11,FALSE)-1)</f>
        <v>3349716.010690554</v>
      </c>
      <c r="DW67" s="11">
        <f>DW$66*$D$49/$D$47</f>
        <v>38.013935203560173</v>
      </c>
      <c r="DX67" s="14">
        <f t="shared" si="84"/>
        <v>1140418.0561068051</v>
      </c>
      <c r="DY67" s="14">
        <f t="shared" si="87"/>
        <v>822126.56220449554</v>
      </c>
      <c r="DZ67" s="14">
        <f t="shared" si="88"/>
        <v>3863466.2059669816</v>
      </c>
      <c r="EA67" s="14">
        <f t="shared" si="85"/>
        <v>115903.98617900944</v>
      </c>
      <c r="EB67" s="14">
        <f t="shared" si="86"/>
        <v>938030.54838350497</v>
      </c>
      <c r="EC67" s="14">
        <f>DX67*(VLOOKUP(89,$A$24:$K$72,11,FALSE)-1)</f>
        <v>4729043.4186235834</v>
      </c>
      <c r="ED67" s="11">
        <f>ED$66*$D$48/$D$47</f>
        <v>45.192130701893447</v>
      </c>
      <c r="EE67" s="14">
        <f t="shared" si="89"/>
        <v>1355763.9210568033</v>
      </c>
      <c r="EF67" s="14">
        <f t="shared" si="92"/>
        <v>919711.53953613923</v>
      </c>
      <c r="EG67" s="14">
        <f t="shared" si="93"/>
        <v>4701862.6585040046</v>
      </c>
      <c r="EH67" s="14">
        <f t="shared" si="90"/>
        <v>141055.87975512014</v>
      </c>
      <c r="EI67" s="14">
        <f t="shared" si="91"/>
        <v>1060767.4192912593</v>
      </c>
      <c r="EJ67" s="14">
        <f>EE67*(VLOOKUP(88,$A$24:$K$72,11,FALSE)-1)</f>
        <v>6076779.2821371211</v>
      </c>
      <c r="EK67" s="11">
        <f>EK$66*$D$47/$D$47</f>
        <v>49.043993625574828</v>
      </c>
      <c r="EL67" s="14">
        <f t="shared" si="94"/>
        <v>1471319.8087672449</v>
      </c>
      <c r="EM67" s="14">
        <f t="shared" si="97"/>
        <v>1013808.2431295894</v>
      </c>
      <c r="EN67" s="14">
        <f t="shared" si="98"/>
        <v>5630962.7937141666</v>
      </c>
      <c r="EO67" s="14">
        <f t="shared" si="95"/>
        <v>168928.88381142498</v>
      </c>
      <c r="EP67" s="14">
        <f t="shared" si="96"/>
        <v>1182737.1269410143</v>
      </c>
      <c r="EQ67" s="14">
        <f>EL67*(VLOOKUP(87,$A$24:$K$72,11,FALSE)-1)</f>
        <v>7116128.0643803757</v>
      </c>
      <c r="ER67" s="11">
        <f>ER$66*$D$46/$D$47</f>
        <v>49.071510415808767</v>
      </c>
      <c r="ES67" s="14">
        <f t="shared" si="99"/>
        <v>1472145.3124742629</v>
      </c>
      <c r="ET67" s="14">
        <f t="shared" ref="ET67:ET90" si="102">EU66/$G48</f>
        <v>1109214.9303861414</v>
      </c>
      <c r="EU67" s="14">
        <f t="shared" ref="EU67:EU90" si="103">EU66-ET67</f>
        <v>6648499.174730923</v>
      </c>
      <c r="EV67" s="14">
        <f t="shared" si="100"/>
        <v>199454.97524192769</v>
      </c>
      <c r="EW67" s="14">
        <f t="shared" si="101"/>
        <v>1308669.9056280691</v>
      </c>
      <c r="EX67" s="14">
        <f>ES67*(VLOOKUP(86,$A$24:$K$72,11,FALSE)-1)</f>
        <v>7628764.3058067672</v>
      </c>
      <c r="EY67" s="11">
        <f>($N66-$N67)+(ER66-ER67)+(EK66-EK67)+(ED66-ED67)+(DW66-DW67)+(DP66-DP67)+(DI66-DI67)+(DB66-DB67)+(CU66-CU67)+(CN66-CN67)+(CG66-CG67)+(BZ66-BZ67)+(BS66-BS67)+(BL66-BL67)+(BE66-BE67)+(AX66-AX67)+(AQ66-AQ67)+(AJ66-AJ67)+(AC66-AC67)+(V66-V67)</f>
        <v>45.670159830373464</v>
      </c>
      <c r="EZ67" s="14">
        <f t="shared" ref="EZ67:EZ91" si="104">EY67*$B$21</f>
        <v>1370104.7949112039</v>
      </c>
      <c r="FA67" s="14">
        <f>EZ$46/$G47</f>
        <v>1201860.5033849629</v>
      </c>
      <c r="FB67" s="14">
        <f>EZ$46-FA67</f>
        <v>7758429.6784355734</v>
      </c>
      <c r="FC67" s="14">
        <f t="shared" ref="FC67:FC91" si="105">$B$20*FB67</f>
        <v>232752.8903530672</v>
      </c>
      <c r="FD67" s="14">
        <f t="shared" ref="FD67:FD91" si="106">FA67+FC67</f>
        <v>1434613.39373803</v>
      </c>
      <c r="FE67" s="14">
        <f>EZ67*(VLOOKUP(85,$A$24:$K$72,11,FALSE)-1)</f>
        <v>7590185.3869093247</v>
      </c>
      <c r="FI67" s="9"/>
      <c r="HR67" s="15"/>
      <c r="HS67" s="15"/>
      <c r="HT67" s="15"/>
      <c r="HU67" s="14"/>
      <c r="HV67" s="14"/>
      <c r="NC67" s="15">
        <v>21</v>
      </c>
      <c r="ND67" s="15">
        <f>N67+V67+AC67+AJ67+AQ67+AX67+BE67+BL67+BS67+BZ67+CG67+CN67+CU67+DB67+DI67+DP67+DW67+ED67+EK67+ER67+EY67</f>
        <v>300.00000000000006</v>
      </c>
      <c r="NE67" s="14">
        <f>P67+W67+AD67+AK67+AR67+AY67+BF67+BM67+BT67+CA67+CH67+CO67+CV67+DC67+DJ67+DQ67+DX67+EE67+EL67+ES67+EZ67</f>
        <v>9000000</v>
      </c>
      <c r="NF67" s="14">
        <f>T67+AA67+AH67+AO67+AV67+BC67+BJ67+BQ67+BX67+CE67+CL67+CS67+CZ67+DG67+DN67+DU67+EB67+EI67+EP67+EW67+FD67</f>
        <v>9906303.4414808396</v>
      </c>
      <c r="NH67" s="14">
        <f>U67+AB67+AI67+AP67+AW67+BD67+BK67+BR67+BY67+CF67+CM67+CT67+DA67+DH67+DO67+DV67+EC67+EJ67+EQ67+EX67+FE67</f>
        <v>40755307.564323917</v>
      </c>
      <c r="NI67" s="14">
        <f>R67+Y67+AF67+AM67+AT67+BA67+BH67+BO67+BV67+CC67+CJ67+CQ67+CX67+DE67+DL67+DS67+DZ67+EG67+EN67+EU67+FB67</f>
        <v>40980583.872876078</v>
      </c>
    </row>
    <row r="68" spans="1:373" x14ac:dyDescent="0.25">
      <c r="A68" s="1">
        <f>'CCRC F'!A68</f>
        <v>106</v>
      </c>
      <c r="B68" s="3">
        <f>'CCRC F'!B68</f>
        <v>0.43540000000000001</v>
      </c>
      <c r="D68">
        <f t="shared" si="5"/>
        <v>18.956694701160288</v>
      </c>
      <c r="E68">
        <f t="shared" si="6"/>
        <v>8.2537448728851892</v>
      </c>
      <c r="F68">
        <f t="shared" si="0"/>
        <v>39.839206197273057</v>
      </c>
      <c r="G68">
        <f t="shared" si="2"/>
        <v>2.1015903260200002</v>
      </c>
      <c r="I68">
        <f t="shared" si="3"/>
        <v>0.82606989856480184</v>
      </c>
      <c r="J68">
        <f t="shared" si="1"/>
        <v>1.6900191572066861</v>
      </c>
      <c r="K68" s="18">
        <f t="shared" si="4"/>
        <v>2.0458549090614406</v>
      </c>
      <c r="M68">
        <v>22</v>
      </c>
      <c r="N68" s="9">
        <f>$B$18*$D$68/$D$47</f>
        <v>1.2168999692673452</v>
      </c>
      <c r="O68" s="6">
        <f>$B$18*$B$21*$K$68</f>
        <v>18412694.181552965</v>
      </c>
      <c r="P68" s="6">
        <f>$B$18*$B$21*$D$68/$D$47</f>
        <v>36506.999078020359</v>
      </c>
      <c r="Q68" s="6">
        <f>R67/$G$68</f>
        <v>32024.061554961187</v>
      </c>
      <c r="R68" s="6">
        <f>R67-$Q$68</f>
        <v>35277.396408814253</v>
      </c>
      <c r="S68" s="6">
        <f>$B$20*$R$68</f>
        <v>1058.3218922644276</v>
      </c>
      <c r="T68" s="6">
        <f t="shared" si="7"/>
        <v>33082.383447225613</v>
      </c>
      <c r="U68" s="6">
        <f t="shared" si="8"/>
        <v>38181.024200849082</v>
      </c>
      <c r="V68" s="17">
        <f>V$67*$D$65/$D$47</f>
        <v>1.3029999657292383E-11</v>
      </c>
      <c r="W68" s="14">
        <f t="shared" si="9"/>
        <v>3.9089998971877151E-7</v>
      </c>
      <c r="X68" s="14">
        <f t="shared" si="12"/>
        <v>4185.0861163136651</v>
      </c>
      <c r="Y68" s="14">
        <f t="shared" si="13"/>
        <v>5182.2122632107075</v>
      </c>
      <c r="Z68" s="14">
        <f t="shared" si="10"/>
        <v>155.46636789632123</v>
      </c>
      <c r="AA68" s="14">
        <f t="shared" si="11"/>
        <v>4340.5524842099867</v>
      </c>
      <c r="AB68" s="14">
        <f>W68*(VLOOKUP(105,$A$24:$K$72,11,FALSE)-1)</f>
        <v>4.5747356445768212E-7</v>
      </c>
      <c r="AC68" s="11">
        <f>AC$67*$D$64/$D$47</f>
        <v>6.9889179626966112E-10</v>
      </c>
      <c r="AD68" s="14">
        <f t="shared" si="14"/>
        <v>2.0966753888089832E-5</v>
      </c>
      <c r="AE68" s="14">
        <f t="shared" si="17"/>
        <v>6493.2999363102681</v>
      </c>
      <c r="AF68" s="14">
        <f t="shared" si="18"/>
        <v>8901.8754266767137</v>
      </c>
      <c r="AG68" s="14">
        <f t="shared" si="15"/>
        <v>267.0562628003014</v>
      </c>
      <c r="AH68" s="14">
        <f t="shared" si="16"/>
        <v>6760.3561991105698</v>
      </c>
      <c r="AI68" s="14">
        <f>AD68*(VLOOKUP(104,$A$24:$K$72,11,FALSE)-1)</f>
        <v>2.7059609737662981E-5</v>
      </c>
      <c r="AJ68" s="11">
        <f>AJ$67*$D$63/$D$47</f>
        <v>2.5288233090890939E-8</v>
      </c>
      <c r="AK68" s="14">
        <f t="shared" si="19"/>
        <v>7.5864699272672816E-4</v>
      </c>
      <c r="AL68" s="14">
        <f t="shared" si="22"/>
        <v>10016.243029370007</v>
      </c>
      <c r="AM68" s="14">
        <f t="shared" si="23"/>
        <v>15065.626760674148</v>
      </c>
      <c r="AN68" s="14">
        <f t="shared" si="20"/>
        <v>451.96880282022443</v>
      </c>
      <c r="AO68" s="14">
        <f t="shared" si="21"/>
        <v>10468.211832190231</v>
      </c>
      <c r="AP68" s="14">
        <f>AK68*(VLOOKUP(103,$A$24:$K$72,11,FALSE)-1)</f>
        <v>1.0703213723802284E-3</v>
      </c>
      <c r="AQ68" s="11">
        <f>AQ$67*$D$62/$D$47</f>
        <v>7.0499215079712262E-7</v>
      </c>
      <c r="AR68" s="14">
        <f t="shared" si="24"/>
        <v>2.1149764523913678E-2</v>
      </c>
      <c r="AS68" s="14">
        <f t="shared" si="27"/>
        <v>17088.767202101968</v>
      </c>
      <c r="AT68" s="14">
        <f t="shared" si="28"/>
        <v>28033.246014728138</v>
      </c>
      <c r="AU68" s="14">
        <f t="shared" si="25"/>
        <v>840.99738044184414</v>
      </c>
      <c r="AV68" s="14">
        <f t="shared" si="26"/>
        <v>17929.764582543812</v>
      </c>
      <c r="AW68" s="14">
        <f>AR68*(VLOOKUP(102,$A$24:$K$72,11,FALSE)-1)</f>
        <v>3.242965767019157E-2</v>
      </c>
      <c r="AX68" s="11">
        <f>AX$67*$D$61/$D$47</f>
        <v>1.4344966338784694E-5</v>
      </c>
      <c r="AY68" s="14">
        <f t="shared" si="29"/>
        <v>0.43034899016354083</v>
      </c>
      <c r="AZ68" s="14">
        <f t="shared" si="32"/>
        <v>29819.070200368176</v>
      </c>
      <c r="BA68" s="14">
        <f t="shared" si="33"/>
        <v>53115.120269783351</v>
      </c>
      <c r="BB68" s="14">
        <f t="shared" si="30"/>
        <v>1593.4536080935004</v>
      </c>
      <c r="BC68" s="14">
        <f t="shared" si="31"/>
        <v>31412.523808461676</v>
      </c>
      <c r="BD68" s="14">
        <f>AY68*(VLOOKUP(101,$A$24:$K$72,11,FALSE)-1)</f>
        <v>0.71403975082497328</v>
      </c>
      <c r="BE68" s="11">
        <f>BE$67*$D$60/$D$47</f>
        <v>1.9748940179525477E-4</v>
      </c>
      <c r="BF68" s="14">
        <f t="shared" si="34"/>
        <v>5.9246820538576435</v>
      </c>
      <c r="BG68" s="14">
        <f t="shared" si="37"/>
        <v>48241.035328584971</v>
      </c>
      <c r="BH68" s="14">
        <f t="shared" si="38"/>
        <v>92979.962539930639</v>
      </c>
      <c r="BI68" s="14">
        <f t="shared" si="35"/>
        <v>2789.398876197919</v>
      </c>
      <c r="BJ68" s="14">
        <f t="shared" si="36"/>
        <v>51030.43420478289</v>
      </c>
      <c r="BK68" s="14">
        <f>BF68*(VLOOKUP(100,$A$24:$K$72,11,FALSE)-1)</f>
        <v>10.600194817725631</v>
      </c>
      <c r="BL68" s="11">
        <f>BL$67*$D$59/$D$47</f>
        <v>1.9237438712712412E-3</v>
      </c>
      <c r="BM68" s="14">
        <f t="shared" si="39"/>
        <v>57.71231613813724</v>
      </c>
      <c r="BN68" s="14">
        <f t="shared" si="42"/>
        <v>74116.294726588545</v>
      </c>
      <c r="BO68" s="14">
        <f t="shared" si="43"/>
        <v>154134.30497321975</v>
      </c>
      <c r="BP68" s="14">
        <f t="shared" si="40"/>
        <v>4624.0291491965927</v>
      </c>
      <c r="BQ68" s="14">
        <f t="shared" si="41"/>
        <v>78740.323875785136</v>
      </c>
      <c r="BR68" s="14">
        <f>BM68*(VLOOKUP(99,$A$24:$K$72,11,FALSE)-1)</f>
        <v>111.02158294358915</v>
      </c>
      <c r="BS68" s="11">
        <f>BS$67*$D$58/$D$47</f>
        <v>1.3794402040857802E-2</v>
      </c>
      <c r="BT68" s="14">
        <f t="shared" si="44"/>
        <v>413.83206122573409</v>
      </c>
      <c r="BU68" s="14">
        <f t="shared" si="47"/>
        <v>109989.95250577359</v>
      </c>
      <c r="BV68" s="14">
        <f t="shared" si="48"/>
        <v>246187.59218623256</v>
      </c>
      <c r="BW68" s="14">
        <f t="shared" si="45"/>
        <v>7385.6277655869762</v>
      </c>
      <c r="BX68" s="14">
        <f t="shared" si="46"/>
        <v>117375.58027136057</v>
      </c>
      <c r="BY68" s="14">
        <f>BT68*(VLOOKUP(98,$A$24:$K$72,11,FALSE)-1)</f>
        <v>853.75973030818375</v>
      </c>
      <c r="BZ68" s="11">
        <f>BZ$67*$D$57/$D$47</f>
        <v>7.5048306161607709E-2</v>
      </c>
      <c r="CA68" s="14">
        <f t="shared" si="49"/>
        <v>2251.4491848482312</v>
      </c>
      <c r="CB68" s="14">
        <f t="shared" si="52"/>
        <v>158139.89973613212</v>
      </c>
      <c r="CC68" s="14">
        <f t="shared" si="53"/>
        <v>381463.4696568253</v>
      </c>
      <c r="CD68" s="14">
        <f t="shared" si="50"/>
        <v>11443.904089704758</v>
      </c>
      <c r="CE68" s="14">
        <f t="shared" si="51"/>
        <v>169583.80382583689</v>
      </c>
      <c r="CF68" s="14">
        <f>CA68*(VLOOKUP(97,$A$24:$K$72,11,FALSE)-1)</f>
        <v>4987.4457296464025</v>
      </c>
      <c r="CG68" s="11">
        <f>CG$67*$D$56/$D$47</f>
        <v>0.31253594630075548</v>
      </c>
      <c r="CH68" s="14">
        <f t="shared" si="54"/>
        <v>9376.0783890226649</v>
      </c>
      <c r="CI68" s="14">
        <f t="shared" si="57"/>
        <v>216412.66871404636</v>
      </c>
      <c r="CJ68" s="14">
        <f t="shared" si="58"/>
        <v>564242.86239916144</v>
      </c>
      <c r="CK68" s="14">
        <f t="shared" si="55"/>
        <v>16927.285871974844</v>
      </c>
      <c r="CL68" s="14">
        <f t="shared" si="56"/>
        <v>233339.95458602119</v>
      </c>
      <c r="CM68" s="14">
        <f>CH68*(VLOOKUP(96,$A$24:$K$72,11,FALSE)-1)</f>
        <v>22363.73447957222</v>
      </c>
      <c r="CN68" s="11">
        <f>CN$67*$D$55/$D$47</f>
        <v>1.0290125411723068</v>
      </c>
      <c r="CO68" s="14">
        <f t="shared" si="59"/>
        <v>30870.376235169202</v>
      </c>
      <c r="CP68" s="14">
        <f t="shared" si="62"/>
        <v>283798.16932034958</v>
      </c>
      <c r="CQ68" s="14">
        <f t="shared" si="63"/>
        <v>802606.01998166414</v>
      </c>
      <c r="CR68" s="14">
        <f t="shared" si="60"/>
        <v>24078.180599449923</v>
      </c>
      <c r="CS68" s="14">
        <f t="shared" si="61"/>
        <v>307876.34991979948</v>
      </c>
      <c r="CT68" s="14">
        <f>CO68*(VLOOKUP(95,$A$24:$K$72,11,FALSE)-1)</f>
        <v>79543.352795637838</v>
      </c>
      <c r="CU68" s="11">
        <f>CU$67*$D$54/$D$47</f>
        <v>2.7678169474364127</v>
      </c>
      <c r="CV68" s="14">
        <f t="shared" si="64"/>
        <v>83034.508423092382</v>
      </c>
      <c r="CW68" s="14">
        <f t="shared" si="67"/>
        <v>359715.03354925505</v>
      </c>
      <c r="CX68" s="14">
        <f t="shared" si="68"/>
        <v>1107262.2474780681</v>
      </c>
      <c r="CY68" s="14">
        <f t="shared" si="65"/>
        <v>33217.867424342039</v>
      </c>
      <c r="CZ68" s="14">
        <f t="shared" si="66"/>
        <v>392932.90097359708</v>
      </c>
      <c r="DA68" s="14">
        <f>CV68*(VLOOKUP(94,$A$24:$K$72,11,FALSE)-1)</f>
        <v>231852.94222383411</v>
      </c>
      <c r="DB68" s="11">
        <f>DB$67*$D$53/$D$47</f>
        <v>6.2418665943516665</v>
      </c>
      <c r="DC68" s="14">
        <f t="shared" si="69"/>
        <v>187255.99783054998</v>
      </c>
      <c r="DD68" s="14">
        <f t="shared" si="72"/>
        <v>442614.01711527875</v>
      </c>
      <c r="DE68" s="14">
        <f t="shared" si="73"/>
        <v>1487544.1931516798</v>
      </c>
      <c r="DF68" s="14">
        <f t="shared" si="70"/>
        <v>44626.325794550394</v>
      </c>
      <c r="DG68" s="14">
        <f t="shared" si="71"/>
        <v>487240.34290982917</v>
      </c>
      <c r="DH68" s="14">
        <f>DC68*(VLOOKUP(93,$A$24:$K$72,11,FALSE)-1)</f>
        <v>568165.89428951161</v>
      </c>
      <c r="DI68" s="11">
        <f>DI$67*$D$52/$D$47</f>
        <v>12.001795774712155</v>
      </c>
      <c r="DJ68" s="14">
        <f t="shared" si="74"/>
        <v>360053.87324136466</v>
      </c>
      <c r="DK68" s="14">
        <f t="shared" si="77"/>
        <v>530616.81471914705</v>
      </c>
      <c r="DL68" s="14">
        <f t="shared" si="78"/>
        <v>1949942.2402278208</v>
      </c>
      <c r="DM68" s="14">
        <f t="shared" si="75"/>
        <v>58498.267206834622</v>
      </c>
      <c r="DN68" s="14">
        <f t="shared" si="76"/>
        <v>589115.08192598168</v>
      </c>
      <c r="DO68" s="14">
        <f>DJ68*(VLOOKUP(92,$A$24:$K$72,11,FALSE)-1)</f>
        <v>1188384.7930701643</v>
      </c>
      <c r="DP68" s="11">
        <f>DP$67*$D$51/$D$47</f>
        <v>19.94938340527932</v>
      </c>
      <c r="DQ68" s="14">
        <f t="shared" si="79"/>
        <v>598481.50215837965</v>
      </c>
      <c r="DR68" s="14">
        <f t="shared" si="82"/>
        <v>624337.91965555574</v>
      </c>
      <c r="DS68" s="14">
        <f t="shared" si="83"/>
        <v>2497816.6583757992</v>
      </c>
      <c r="DT68" s="14">
        <f t="shared" si="80"/>
        <v>74934.499751273979</v>
      </c>
      <c r="DU68" s="14">
        <f t="shared" si="81"/>
        <v>699272.41940682975</v>
      </c>
      <c r="DV68" s="14">
        <f>DQ68*(VLOOKUP(91,$A$24:$K$72,11,FALSE)-1)</f>
        <v>2138515.0436277445</v>
      </c>
      <c r="DW68" s="11">
        <f>DW$67*$D$50/$D$47</f>
        <v>29.15739826649078</v>
      </c>
      <c r="DX68" s="14">
        <f t="shared" si="84"/>
        <v>874721.94799472345</v>
      </c>
      <c r="DY68" s="14">
        <f t="shared" si="87"/>
        <v>723882.43802105857</v>
      </c>
      <c r="DZ68" s="14">
        <f t="shared" si="88"/>
        <v>3139583.7679459229</v>
      </c>
      <c r="EA68" s="14">
        <f t="shared" si="85"/>
        <v>94187.513038377685</v>
      </c>
      <c r="EB68" s="14">
        <f t="shared" si="86"/>
        <v>818069.95105943619</v>
      </c>
      <c r="EC68" s="14">
        <f>DX68*(VLOOKUP(90,$A$24:$K$72,11,FALSE)-1)</f>
        <v>3368415.544954808</v>
      </c>
      <c r="ED68" s="11">
        <f>ED$67*$D$49/$D$47</f>
        <v>38.145931855311673</v>
      </c>
      <c r="EE68" s="14">
        <f t="shared" si="89"/>
        <v>1144377.9556593501</v>
      </c>
      <c r="EF68" s="14">
        <f t="shared" si="92"/>
        <v>824981.25096391689</v>
      </c>
      <c r="EG68" s="14">
        <f t="shared" si="93"/>
        <v>3876881.4075400876</v>
      </c>
      <c r="EH68" s="14">
        <f t="shared" si="90"/>
        <v>116306.44222620262</v>
      </c>
      <c r="EI68" s="14">
        <f t="shared" si="91"/>
        <v>941287.69319011946</v>
      </c>
      <c r="EJ68" s="14">
        <f>EE68*(VLOOKUP(89,$A$24:$K$72,11,FALSE)-1)</f>
        <v>4745464.1836378658</v>
      </c>
      <c r="EK68" s="11">
        <f>EK$67*$D$48/$D$47</f>
        <v>45.26760611640556</v>
      </c>
      <c r="EL68" s="14">
        <f t="shared" si="94"/>
        <v>1358028.1834921667</v>
      </c>
      <c r="EM68" s="14">
        <f t="shared" si="97"/>
        <v>921247.55053185788</v>
      </c>
      <c r="EN68" s="14">
        <f t="shared" si="98"/>
        <v>4709715.243182309</v>
      </c>
      <c r="EO68" s="14">
        <f t="shared" si="95"/>
        <v>141291.45729546927</v>
      </c>
      <c r="EP68" s="14">
        <f t="shared" si="96"/>
        <v>1062539.0078273271</v>
      </c>
      <c r="EQ68" s="14">
        <f>EL68*(VLOOKUP(88,$A$24:$K$72,11,FALSE)-1)</f>
        <v>6086928.1161950538</v>
      </c>
      <c r="ER68" s="11">
        <f>ER$67*$D$47/$D$47</f>
        <v>49.071510415808767</v>
      </c>
      <c r="ES68" s="14">
        <f t="shared" si="99"/>
        <v>1472145.3124742629</v>
      </c>
      <c r="ET68" s="14">
        <f t="shared" si="102"/>
        <v>1014377.0538381265</v>
      </c>
      <c r="EU68" s="14">
        <f t="shared" si="103"/>
        <v>5634122.1208927967</v>
      </c>
      <c r="EV68" s="14">
        <f t="shared" si="100"/>
        <v>169023.66362678391</v>
      </c>
      <c r="EW68" s="14">
        <f t="shared" si="101"/>
        <v>1183400.7174649104</v>
      </c>
      <c r="EX68" s="14">
        <f>ES68*(VLOOKUP(87,$A$24:$K$72,11,FALSE)-1)</f>
        <v>7120120.6634480683</v>
      </c>
      <c r="EY68" s="11">
        <f>EY$67*$D$46/$D$47</f>
        <v>49.076036783122134</v>
      </c>
      <c r="EZ68" s="14">
        <f t="shared" si="104"/>
        <v>1472281.1034936639</v>
      </c>
      <c r="FA68" s="14">
        <f t="shared" ref="FA68:FA91" si="107">FB67/$G48</f>
        <v>1109317.2446243204</v>
      </c>
      <c r="FB68" s="14">
        <f t="shared" ref="FB68:FB91" si="108">FB67-FA68</f>
        <v>6649112.4338112529</v>
      </c>
      <c r="FC68" s="14">
        <f t="shared" si="105"/>
        <v>199473.37301433759</v>
      </c>
      <c r="FD68" s="14">
        <f t="shared" si="106"/>
        <v>1308790.617638658</v>
      </c>
      <c r="FE68" s="14">
        <f>EZ68*(VLOOKUP(86,$A$24:$K$72,11,FALSE)-1)</f>
        <v>7629467.9847663632</v>
      </c>
      <c r="FF68" s="11">
        <f>($N67-$N68)+(EY67-EY68)+(ER67-ER68)+(EK67-EK68)+(ED67-ED68)+(DW67-DW68)+(DP67-DP68)+(DI67-DI68)+(DB67-DB68)+(CU67-CU68)+(CN67-CN68)+(CG67-CG68)+(BZ67-BZ68)+(BS67-BS68)+(BL67-BL68)+(BE67-BE68)+(AX67-AX68)+(AQ67-AQ68)+(AJ67-AJ68)+(AC67-AC68)+(V67-V68)</f>
        <v>45.671226366906957</v>
      </c>
      <c r="FG68" s="14">
        <f t="shared" ref="FG68:FG92" si="109">FF68*$B$21</f>
        <v>1370136.7910072086</v>
      </c>
      <c r="FH68" s="14">
        <f>FG$46/$G47</f>
        <v>1201888.5704672718</v>
      </c>
      <c r="FI68" s="14">
        <f>FG$46-FH68</f>
        <v>7758610.8612631643</v>
      </c>
      <c r="FJ68" s="14">
        <f t="shared" ref="FJ68:FJ92" si="110">$B$20*FI68</f>
        <v>232758.32583789492</v>
      </c>
      <c r="FK68" s="14">
        <f t="shared" ref="FK68:FK92" si="111">FH68+FJ68</f>
        <v>1434646.8963051667</v>
      </c>
      <c r="FL68" s="14">
        <f>FG68*(VLOOKUP(85,$A$24:$K$72,11,FALSE)-1)</f>
        <v>7590362.6407232191</v>
      </c>
      <c r="HR68" s="15"/>
      <c r="HS68" s="15"/>
      <c r="HT68" s="15"/>
      <c r="HU68" s="14"/>
      <c r="HV68" s="14"/>
      <c r="NC68" s="15">
        <v>22</v>
      </c>
      <c r="ND68" s="15">
        <f>N68+V68+AC68+AJ68+AQ68+AX68+BE68+BL68+BS68+BZ68+CG68+CN68+CU68+DB68+DI68+DP68+DW68+ED68+EK68+ER68+EY68+FF68</f>
        <v>300</v>
      </c>
      <c r="NE68" s="14">
        <f>P68+W68+AD68+AK68+AR68+AY68+BF68+BM68+BT68+CA68+CH68+CO68+CV68+DC68+DJ68+DQ68+DX68+EE68+EL68+ES68+EZ68+FG68</f>
        <v>9000000</v>
      </c>
      <c r="NF68" s="14">
        <f>T68+AA68+AH68+AO68+AV68+BC68+BJ68+BQ68+BX68+CE68+CL68+CS68+CZ68+DG68+DN68+DU68+EB68+EI68+EP68+EW68+FD68+FK68</f>
        <v>9979235.8677391838</v>
      </c>
      <c r="NH68" s="14">
        <f>U68+AB68+AI68+AP68+AW68+BD68+BK68+BR68+BY68+CF68+CM68+CT68+DA68+DH68+DO68+DV68+EC68+EJ68+EQ68+EX68+FE68+FL68</f>
        <v>40813729.493217655</v>
      </c>
      <c r="NI68" s="14">
        <f>R68+Y68+AF68+AM68+AT68+BA68+BH68+BO68+BV68+CC68+CJ68+CQ68+CX68+DE68+DL68+DS68+DZ68+EG68+EN68+EU68+FB68+FI68</f>
        <v>41197780.862749822</v>
      </c>
    </row>
    <row r="69" spans="1:373" x14ac:dyDescent="0.25">
      <c r="A69" s="1">
        <f>'CCRC F'!A69</f>
        <v>107</v>
      </c>
      <c r="B69" s="3">
        <f>'CCRC F'!B69</f>
        <v>0.46150000000000002</v>
      </c>
      <c r="D69">
        <f t="shared" si="5"/>
        <v>10.702949828275099</v>
      </c>
      <c r="E69">
        <f t="shared" si="6"/>
        <v>4.9394113457489581</v>
      </c>
      <c r="F69">
        <f t="shared" si="0"/>
        <v>20.88251149611277</v>
      </c>
      <c r="G69">
        <f t="shared" si="2"/>
        <v>1.9510987000000002</v>
      </c>
      <c r="I69">
        <f t="shared" si="3"/>
        <v>0.45281462595115257</v>
      </c>
      <c r="J69">
        <f t="shared" si="1"/>
        <v>0.86394925864188421</v>
      </c>
      <c r="K69" s="18">
        <f t="shared" si="4"/>
        <v>1.9079535181248382</v>
      </c>
      <c r="M69">
        <v>23</v>
      </c>
      <c r="N69" s="9">
        <f>$B$18*$D$69/$D$47</f>
        <v>0.68706172264834309</v>
      </c>
      <c r="O69" s="6">
        <f>$B$18*$B$21*$K$69</f>
        <v>17171581.663123544</v>
      </c>
      <c r="P69" s="6">
        <f>$B$18*$B$21*$D$69/$D$47</f>
        <v>20611.85167945029</v>
      </c>
      <c r="Q69" s="6">
        <f>R68/$G$69</f>
        <v>18080.78515393109</v>
      </c>
      <c r="R69" s="6">
        <f>R68-$Q$69</f>
        <v>17196.611254883162</v>
      </c>
      <c r="S69" s="6">
        <f>$B$20*$R$69</f>
        <v>515.89833764649484</v>
      </c>
      <c r="T69" s="6">
        <f t="shared" si="7"/>
        <v>18596.683491577583</v>
      </c>
      <c r="U69" s="6">
        <f t="shared" si="8"/>
        <v>18714.603247424246</v>
      </c>
      <c r="V69" s="11">
        <f>V$68*$D$66/$D$47</f>
        <v>1.4645668456260412E-13</v>
      </c>
      <c r="W69" s="14">
        <f t="shared" si="9"/>
        <v>4.3937005368781238E-9</v>
      </c>
      <c r="X69" s="14">
        <f t="shared" si="12"/>
        <v>2465.8527397320108</v>
      </c>
      <c r="Y69" s="14">
        <f t="shared" si="13"/>
        <v>2716.3595234786967</v>
      </c>
      <c r="Z69" s="14">
        <f t="shared" si="10"/>
        <v>81.490785704360903</v>
      </c>
      <c r="AA69" s="14">
        <f t="shared" si="11"/>
        <v>2547.3435254363717</v>
      </c>
      <c r="AB69" s="14">
        <f>W69*(VLOOKUP(106,$A$24:$K$72,11,FALSE)-1)</f>
        <v>4.5951732754398733E-9</v>
      </c>
      <c r="AC69" s="11">
        <f>AC$68*$D$65/$D$47</f>
        <v>1.2382591976828481E-11</v>
      </c>
      <c r="AD69" s="14">
        <f t="shared" si="14"/>
        <v>3.7147775930485442E-7</v>
      </c>
      <c r="AE69" s="14">
        <f t="shared" si="17"/>
        <v>3977.1462109900394</v>
      </c>
      <c r="AF69" s="14">
        <f t="shared" si="18"/>
        <v>4924.7292156866743</v>
      </c>
      <c r="AG69" s="14">
        <f t="shared" si="15"/>
        <v>147.74187647060023</v>
      </c>
      <c r="AH69" s="14">
        <f t="shared" si="16"/>
        <v>4124.8880874606393</v>
      </c>
      <c r="AI69" s="14">
        <f>AD69*(VLOOKUP(105,$A$24:$K$72,11,FALSE)-1)</f>
        <v>4.347435639182465E-7</v>
      </c>
      <c r="AJ69" s="11">
        <f>AJ$68*$D$64/$D$47</f>
        <v>6.8393134215347726E-10</v>
      </c>
      <c r="AK69" s="14">
        <f t="shared" si="19"/>
        <v>2.0517940264604319E-5</v>
      </c>
      <c r="AL69" s="14">
        <f t="shared" si="22"/>
        <v>6354.3045778323321</v>
      </c>
      <c r="AM69" s="14">
        <f t="shared" si="23"/>
        <v>8711.3221828418154</v>
      </c>
      <c r="AN69" s="14">
        <f t="shared" si="20"/>
        <v>261.33966548525444</v>
      </c>
      <c r="AO69" s="14">
        <f t="shared" si="21"/>
        <v>6615.6442433175862</v>
      </c>
      <c r="AP69" s="14">
        <f>AK69*(VLOOKUP(104,$A$24:$K$72,11,FALSE)-1)</f>
        <v>2.6480372648255295E-5</v>
      </c>
      <c r="AQ69" s="11">
        <f>AQ$68*$D$63/$D$47</f>
        <v>2.826389202435486E-8</v>
      </c>
      <c r="AR69" s="14">
        <f t="shared" si="24"/>
        <v>8.4791676073064579E-4</v>
      </c>
      <c r="AS69" s="14">
        <f t="shared" si="27"/>
        <v>11194.851394097001</v>
      </c>
      <c r="AT69" s="14">
        <f t="shared" si="28"/>
        <v>16838.394620631138</v>
      </c>
      <c r="AU69" s="14">
        <f t="shared" si="25"/>
        <v>505.15183861893411</v>
      </c>
      <c r="AV69" s="14">
        <f t="shared" si="26"/>
        <v>11700.003232715935</v>
      </c>
      <c r="AW69" s="14">
        <f>AR69*(VLOOKUP(103,$A$24:$K$72,11,FALSE)-1)</f>
        <v>1.1962657727641298E-3</v>
      </c>
      <c r="AX69" s="11">
        <f>AX$68*$D$62/$D$47</f>
        <v>8.2987748571633772E-7</v>
      </c>
      <c r="AY69" s="14">
        <f t="shared" si="29"/>
        <v>2.489632457149013E-2</v>
      </c>
      <c r="AZ69" s="14">
        <f t="shared" si="32"/>
        <v>20115.944757168367</v>
      </c>
      <c r="BA69" s="14">
        <f t="shared" si="33"/>
        <v>32999.17551261498</v>
      </c>
      <c r="BB69" s="14">
        <f t="shared" si="30"/>
        <v>989.97526537844942</v>
      </c>
      <c r="BC69" s="14">
        <f t="shared" si="31"/>
        <v>21105.920022546816</v>
      </c>
      <c r="BD69" s="14">
        <f>AY69*(VLOOKUP(102,$A$24:$K$72,11,FALSE)-1)</f>
        <v>3.8174386395012284E-2</v>
      </c>
      <c r="BE69" s="11">
        <f>BE$68*$D$61/$D$47</f>
        <v>1.6082564081900668E-5</v>
      </c>
      <c r="BF69" s="14">
        <f t="shared" si="34"/>
        <v>0.48247692245702006</v>
      </c>
      <c r="BG69" s="14">
        <f t="shared" si="37"/>
        <v>33431.037482709384</v>
      </c>
      <c r="BH69" s="14">
        <f t="shared" si="38"/>
        <v>59548.925057221255</v>
      </c>
      <c r="BI69" s="14">
        <f t="shared" si="35"/>
        <v>1786.4677517166376</v>
      </c>
      <c r="BJ69" s="14">
        <f t="shared" si="36"/>
        <v>35217.505234426018</v>
      </c>
      <c r="BK69" s="14">
        <f>BF69*(VLOOKUP(101,$A$24:$K$72,11,FALSE)-1)</f>
        <v>0.80053098616332541</v>
      </c>
      <c r="BL69" s="11">
        <f>BL$68*$D$60/$D$47</f>
        <v>2.1554791528685896E-4</v>
      </c>
      <c r="BM69" s="14">
        <f t="shared" si="39"/>
        <v>6.4664374586057685</v>
      </c>
      <c r="BN69" s="14">
        <f t="shared" si="42"/>
        <v>52652.215773768497</v>
      </c>
      <c r="BO69" s="14">
        <f t="shared" si="43"/>
        <v>101482.08919945126</v>
      </c>
      <c r="BP69" s="14">
        <f t="shared" si="40"/>
        <v>3044.4626759835378</v>
      </c>
      <c r="BQ69" s="14">
        <f t="shared" si="41"/>
        <v>55696.678449752035</v>
      </c>
      <c r="BR69" s="14">
        <f>BM69*(VLOOKUP(100,$A$24:$K$72,11,FALSE)-1)</f>
        <v>11.569481064933912</v>
      </c>
      <c r="BS69" s="11">
        <f>BS$68*$D$59/$D$47</f>
        <v>2.074920601628923E-3</v>
      </c>
      <c r="BT69" s="14">
        <f t="shared" si="44"/>
        <v>62.247618048867686</v>
      </c>
      <c r="BU69" s="14">
        <f t="shared" si="47"/>
        <v>79940.697481196257</v>
      </c>
      <c r="BV69" s="14">
        <f t="shared" si="48"/>
        <v>166246.89470503631</v>
      </c>
      <c r="BW69" s="14">
        <f t="shared" si="45"/>
        <v>4987.4068411510889</v>
      </c>
      <c r="BX69" s="14">
        <f t="shared" si="46"/>
        <v>84928.104322347353</v>
      </c>
      <c r="BY69" s="14">
        <f>BT69*(VLOOKUP(99,$A$24:$K$72,11,FALSE)-1)</f>
        <v>119.74617469366183</v>
      </c>
      <c r="BZ69" s="11">
        <f>BZ$68*$D$58/$D$47</f>
        <v>1.4773700764592054E-2</v>
      </c>
      <c r="CA69" s="14">
        <f t="shared" si="49"/>
        <v>443.21102293776158</v>
      </c>
      <c r="CB69" s="14">
        <f t="shared" si="52"/>
        <v>117798.41131344483</v>
      </c>
      <c r="CC69" s="14">
        <f t="shared" si="53"/>
        <v>263665.05834338046</v>
      </c>
      <c r="CD69" s="14">
        <f t="shared" si="50"/>
        <v>7909.9517503014131</v>
      </c>
      <c r="CE69" s="14">
        <f t="shared" si="51"/>
        <v>125708.36306374623</v>
      </c>
      <c r="CF69" s="14">
        <f>CA69*(VLOOKUP(98,$A$24:$K$72,11,FALSE)-1)</f>
        <v>914.3702454860138</v>
      </c>
      <c r="CG69" s="11">
        <f>CG$68*$D$57/$D$47</f>
        <v>7.8475179157001959E-2</v>
      </c>
      <c r="CH69" s="14">
        <f t="shared" si="54"/>
        <v>2354.2553747100587</v>
      </c>
      <c r="CI69" s="14">
        <f t="shared" si="57"/>
        <v>165360.92016440281</v>
      </c>
      <c r="CJ69" s="14">
        <f t="shared" si="58"/>
        <v>398881.94223475864</v>
      </c>
      <c r="CK69" s="14">
        <f t="shared" si="55"/>
        <v>11966.458267042759</v>
      </c>
      <c r="CL69" s="14">
        <f t="shared" si="56"/>
        <v>177327.37843144557</v>
      </c>
      <c r="CM69" s="14">
        <f>CH69*(VLOOKUP(97,$A$24:$K$72,11,FALSE)-1)</f>
        <v>5215.183622226089</v>
      </c>
      <c r="CN69" s="11">
        <f>CN$68*$D$56/$D$47</f>
        <v>0.32132383870252235</v>
      </c>
      <c r="CO69" s="14">
        <f t="shared" si="59"/>
        <v>9639.71516107567</v>
      </c>
      <c r="CP69" s="14">
        <f t="shared" si="62"/>
        <v>222497.76474715411</v>
      </c>
      <c r="CQ69" s="14">
        <f t="shared" si="63"/>
        <v>580108.25523451006</v>
      </c>
      <c r="CR69" s="14">
        <f t="shared" si="60"/>
        <v>17403.247657035303</v>
      </c>
      <c r="CS69" s="14">
        <f t="shared" si="61"/>
        <v>239901.01240418942</v>
      </c>
      <c r="CT69" s="14">
        <f>CO69*(VLOOKUP(96,$A$24:$K$72,11,FALSE)-1)</f>
        <v>22992.558442493406</v>
      </c>
      <c r="CU69" s="11">
        <f>CU$68*$D$55/$D$47</f>
        <v>1.0487687273680273</v>
      </c>
      <c r="CV69" s="14">
        <f t="shared" si="64"/>
        <v>31463.061821040817</v>
      </c>
      <c r="CW69" s="14">
        <f t="shared" si="67"/>
        <v>289246.85847695597</v>
      </c>
      <c r="CX69" s="14">
        <f t="shared" si="68"/>
        <v>818015.3890011122</v>
      </c>
      <c r="CY69" s="14">
        <f t="shared" si="65"/>
        <v>24540.461670033364</v>
      </c>
      <c r="CZ69" s="14">
        <f t="shared" si="66"/>
        <v>313787.32014698931</v>
      </c>
      <c r="DA69" s="14">
        <f>CV69*(VLOOKUP(95,$A$24:$K$72,11,FALSE)-1)</f>
        <v>81070.519108569453</v>
      </c>
      <c r="DB69" s="11">
        <f>DB$68*$D$54/$D$47</f>
        <v>2.8066215347128871</v>
      </c>
      <c r="DC69" s="14">
        <f t="shared" si="69"/>
        <v>84198.646041386615</v>
      </c>
      <c r="DD69" s="14">
        <f t="shared" si="72"/>
        <v>364758.21150470135</v>
      </c>
      <c r="DE69" s="14">
        <f t="shared" si="73"/>
        <v>1122785.9816469785</v>
      </c>
      <c r="DF69" s="14">
        <f t="shared" si="70"/>
        <v>33683.579449409357</v>
      </c>
      <c r="DG69" s="14">
        <f t="shared" si="71"/>
        <v>398441.79095411068</v>
      </c>
      <c r="DH69" s="14">
        <f>DC69*(VLOOKUP(94,$A$24:$K$72,11,FALSE)-1)</f>
        <v>235103.50319036233</v>
      </c>
      <c r="DI69" s="11">
        <f>DI$68*$D$53/$D$47</f>
        <v>6.3058454304167562</v>
      </c>
      <c r="DJ69" s="14">
        <f t="shared" si="74"/>
        <v>189175.36291250269</v>
      </c>
      <c r="DK69" s="14">
        <f t="shared" si="77"/>
        <v>447150.78976382513</v>
      </c>
      <c r="DL69" s="14">
        <f t="shared" si="78"/>
        <v>1502791.4504639958</v>
      </c>
      <c r="DM69" s="14">
        <f t="shared" si="75"/>
        <v>45083.743513919871</v>
      </c>
      <c r="DN69" s="14">
        <f t="shared" si="76"/>
        <v>492234.53327774501</v>
      </c>
      <c r="DO69" s="14">
        <f>DJ69*(VLOOKUP(93,$A$24:$K$72,11,FALSE)-1)</f>
        <v>573989.56771460816</v>
      </c>
      <c r="DP69" s="11">
        <f>DP$68*$D$52/$D$47</f>
        <v>12.08529398109461</v>
      </c>
      <c r="DQ69" s="14">
        <f t="shared" si="79"/>
        <v>362558.8194328383</v>
      </c>
      <c r="DR69" s="14">
        <f t="shared" si="82"/>
        <v>534308.39164122462</v>
      </c>
      <c r="DS69" s="14">
        <f t="shared" si="83"/>
        <v>1963508.2667345745</v>
      </c>
      <c r="DT69" s="14">
        <f t="shared" si="80"/>
        <v>58905.248002037231</v>
      </c>
      <c r="DU69" s="14">
        <f t="shared" si="81"/>
        <v>593213.63964326191</v>
      </c>
      <c r="DV69" s="14">
        <f>DQ69*(VLOOKUP(92,$A$24:$K$72,11,FALSE)-1)</f>
        <v>1196652.5557097031</v>
      </c>
      <c r="DW69" s="11">
        <f>DW$68*$D$51/$D$47</f>
        <v>20.060749317299084</v>
      </c>
      <c r="DX69" s="14">
        <f t="shared" si="84"/>
        <v>601822.47951897257</v>
      </c>
      <c r="DY69" s="14">
        <f t="shared" si="87"/>
        <v>627823.23849566397</v>
      </c>
      <c r="DZ69" s="14">
        <f t="shared" si="88"/>
        <v>2511760.5294502592</v>
      </c>
      <c r="EA69" s="14">
        <f t="shared" si="85"/>
        <v>75352.815883507777</v>
      </c>
      <c r="EB69" s="14">
        <f t="shared" si="86"/>
        <v>703176.05437917169</v>
      </c>
      <c r="EC69" s="14">
        <f>DX69*(VLOOKUP(91,$A$24:$K$72,11,FALSE)-1)</f>
        <v>2150453.140829213</v>
      </c>
      <c r="ED69" s="11">
        <f>ED$68*$D$50/$D$47</f>
        <v>29.258642163613054</v>
      </c>
      <c r="EE69" s="14">
        <f t="shared" si="89"/>
        <v>877759.26490839163</v>
      </c>
      <c r="EF69" s="14">
        <f t="shared" si="92"/>
        <v>726395.99147372902</v>
      </c>
      <c r="EG69" s="14">
        <f t="shared" si="93"/>
        <v>3150485.4160663588</v>
      </c>
      <c r="EH69" s="14">
        <f t="shared" si="90"/>
        <v>94514.562481990753</v>
      </c>
      <c r="EI69" s="14">
        <f t="shared" si="91"/>
        <v>820910.55395571981</v>
      </c>
      <c r="EJ69" s="14">
        <f>EE69*(VLOOKUP(90,$A$24:$K$72,11,FALSE)-1)</f>
        <v>3380111.7708588317</v>
      </c>
      <c r="EK69" s="11">
        <f>EK$68*$D$49/$D$47</f>
        <v>38.209639407357002</v>
      </c>
      <c r="EL69" s="14">
        <f t="shared" si="94"/>
        <v>1146289.18222071</v>
      </c>
      <c r="EM69" s="14">
        <f t="shared" si="97"/>
        <v>826359.05282707652</v>
      </c>
      <c r="EN69" s="14">
        <f t="shared" si="98"/>
        <v>3883356.1903552325</v>
      </c>
      <c r="EO69" s="14">
        <f t="shared" si="95"/>
        <v>116500.68571065697</v>
      </c>
      <c r="EP69" s="14">
        <f t="shared" si="96"/>
        <v>942859.73853773344</v>
      </c>
      <c r="EQ69" s="14">
        <f>EL69*(VLOOKUP(89,$A$24:$K$72,11,FALSE)-1)</f>
        <v>4753389.5872590188</v>
      </c>
      <c r="ER69" s="11">
        <f>ER$68*$D$48/$D$47</f>
        <v>45.29300411379149</v>
      </c>
      <c r="ES69" s="14">
        <f t="shared" si="99"/>
        <v>1358790.1234137446</v>
      </c>
      <c r="ET69" s="14">
        <f t="shared" si="102"/>
        <v>921764.42882270552</v>
      </c>
      <c r="EU69" s="14">
        <f t="shared" si="103"/>
        <v>4712357.6920700911</v>
      </c>
      <c r="EV69" s="14">
        <f t="shared" si="100"/>
        <v>141370.73076210273</v>
      </c>
      <c r="EW69" s="14">
        <f t="shared" si="101"/>
        <v>1063135.1595848082</v>
      </c>
      <c r="EX69" s="14">
        <f>ES69*(VLOOKUP(88,$A$24:$K$72,11,FALSE)-1)</f>
        <v>6090343.2688317075</v>
      </c>
      <c r="EY69" s="11">
        <f>EY$68*$D$47/$D$47</f>
        <v>49.076036783122134</v>
      </c>
      <c r="EZ69" s="14">
        <f t="shared" si="104"/>
        <v>1472281.1034936639</v>
      </c>
      <c r="FA69" s="14">
        <f t="shared" si="107"/>
        <v>1014470.6202089412</v>
      </c>
      <c r="FB69" s="14">
        <f t="shared" si="108"/>
        <v>5634641.8136023115</v>
      </c>
      <c r="FC69" s="14">
        <f t="shared" si="105"/>
        <v>169039.25440806933</v>
      </c>
      <c r="FD69" s="14">
        <f t="shared" si="106"/>
        <v>1183509.8746170106</v>
      </c>
      <c r="FE69" s="14">
        <f>EZ69*(VLOOKUP(87,$A$24:$K$72,11,FALSE)-1)</f>
        <v>7120777.4250020776</v>
      </c>
      <c r="FF69" s="11">
        <f>FF$68*$D$46/$D$47</f>
        <v>49.077182857196384</v>
      </c>
      <c r="FG69" s="14">
        <f t="shared" si="109"/>
        <v>1472315.4857158915</v>
      </c>
      <c r="FH69" s="14">
        <f t="shared" ref="FH69:FH92" si="112">FI68/$G48</f>
        <v>1109343.1505412918</v>
      </c>
      <c r="FI69" s="14">
        <f t="shared" ref="FI69:FI92" si="113">FI68-FH69</f>
        <v>6649267.7107218727</v>
      </c>
      <c r="FJ69" s="14">
        <f t="shared" si="110"/>
        <v>199478.03132165616</v>
      </c>
      <c r="FK69" s="14">
        <f t="shared" si="111"/>
        <v>1308821.181862948</v>
      </c>
      <c r="FL69" s="14">
        <f>FG69*(VLOOKUP(86,$A$24:$K$72,11,FALSE)-1)</f>
        <v>7629646.1559478771</v>
      </c>
      <c r="FM69" s="11">
        <f>($N68-$N69)+(FF68-FF69)+(EY68-EY69)+(ER68-ER69)+(EK68-EK69)+(ED68-ED69)+(DW68-DW69)+(DP68-DP69)+(DI68-DI69)+(DB68-DB69)+(CU68-CU69)+(CN68-CN69)+(CG68-CG69)+(BZ68-BZ69)+(BS68-BS69)+(BL68-BL69)+(BE68-BE69)+(AX68-AX69)+(AQ68-AQ69)+(AJ68-AJ69)+(AC68-AC69)+(V68-V69)</f>
        <v>45.674273832837279</v>
      </c>
      <c r="FN69" s="14">
        <f t="shared" ref="FN69:FN93" si="114">FM69*$B$21</f>
        <v>1370228.2149851185</v>
      </c>
      <c r="FO69" s="14">
        <f>FN$46/$G47</f>
        <v>1201968.7678861257</v>
      </c>
      <c r="FP69" s="14">
        <f>FN$46-FO69</f>
        <v>7759128.5636361251</v>
      </c>
      <c r="FQ69" s="14">
        <f t="shared" ref="FQ69:FQ93" si="115">$B$20*FP69</f>
        <v>232773.85690908376</v>
      </c>
      <c r="FR69" s="14">
        <f t="shared" ref="FR69:FR93" si="116">FO69+FQ69</f>
        <v>1434742.6247952094</v>
      </c>
      <c r="FS69" s="14">
        <f>FN69*(VLOOKUP(85,$A$24:$K$72,11,FALSE)-1)</f>
        <v>7590869.1165371286</v>
      </c>
      <c r="HR69" s="15"/>
      <c r="HS69" s="15"/>
      <c r="HT69" s="15"/>
      <c r="HU69" s="14"/>
      <c r="HV69" s="14"/>
      <c r="NC69" s="15">
        <v>23</v>
      </c>
      <c r="ND69" s="15">
        <f>N69+V69+AC69+AJ69+AQ69+AX69+BE69+BL69+BS69+BZ69+CG69+CN69+CU69+DB69+DI69+DP69+DW69+ED69+EK69+ER69+EY69+FF69+FM69</f>
        <v>300</v>
      </c>
      <c r="NE69" s="14">
        <f>P69+W69+AD69+AK69+AR69+AY69+BF69+BM69+BT69+CA69+CH69+CO69+CV69+DC69+DJ69+DQ69+DX69+EE69+EL69+ES69+EZ69+FG69+FN69</f>
        <v>9000000</v>
      </c>
      <c r="NF69" s="14">
        <f>T69+AA69+AH69+AO69+AV69+BC69+BJ69+BQ69+BX69+CE69+CL69+CS69+CZ69+DG69+DN69+DU69+EB69+EI69+EP69+EW69+FD69+FK69+FR69</f>
        <v>10038301.99626367</v>
      </c>
      <c r="NH69" s="14">
        <f>U69+AB69+AI69+AP69+AW69+BD69+BK69+BR69+BY69+CF69+CM69+CT69+DA69+DH69+DO69+DV69+EC69+EJ69+EQ69+EX69+FE69+FL69+FS69</f>
        <v>40850375.482131049</v>
      </c>
      <c r="NI69" s="14">
        <f>R69+Y69+AF69+AM69+AT69+BA69+BH69+BO69+BV69+CC69+CJ69+CQ69+CX69+DE69+DL69+DS69+DZ69+EG69+EN69+EU69+FB69+FI69+FP69</f>
        <v>41361418.760833405</v>
      </c>
    </row>
    <row r="70" spans="1:373" x14ac:dyDescent="0.25">
      <c r="A70" s="1">
        <f>'CCRC F'!A70</f>
        <v>108</v>
      </c>
      <c r="B70" s="3">
        <f>'CCRC F'!B70</f>
        <v>0.48920000000000002</v>
      </c>
      <c r="D70">
        <f t="shared" si="5"/>
        <v>5.7635384825261404</v>
      </c>
      <c r="E70">
        <f t="shared" si="6"/>
        <v>2.819523025651788</v>
      </c>
      <c r="F70">
        <f t="shared" si="0"/>
        <v>10.179561667837669</v>
      </c>
      <c r="G70">
        <f t="shared" si="2"/>
        <v>1.7662</v>
      </c>
      <c r="I70">
        <f t="shared" si="3"/>
        <v>0.23673852046086963</v>
      </c>
      <c r="J70">
        <f t="shared" si="1"/>
        <v>0.41113463269073169</v>
      </c>
      <c r="K70" s="18">
        <f t="shared" si="4"/>
        <v>1.7366613252898482</v>
      </c>
      <c r="M70">
        <v>24</v>
      </c>
      <c r="N70" s="9">
        <f>$B$18*$D$70/$D$47</f>
        <v>0.36998273764613271</v>
      </c>
      <c r="O70" s="6">
        <f>$B$18*$B$21*$K$70</f>
        <v>15629951.927608633</v>
      </c>
      <c r="P70" s="6">
        <f>$B$18*$B$21*$D$70/$D$47</f>
        <v>11099.482129383981</v>
      </c>
      <c r="Q70" s="6">
        <f>R69/$G$70</f>
        <v>9736.5028053918941</v>
      </c>
      <c r="R70" s="6">
        <f>R69-$Q$70</f>
        <v>7460.1084494912684</v>
      </c>
      <c r="S70" s="6">
        <f>$B$20*$R$70</f>
        <v>223.80325348473804</v>
      </c>
      <c r="T70" s="6">
        <f t="shared" si="7"/>
        <v>9960.306058876633</v>
      </c>
      <c r="U70" s="6">
        <f t="shared" si="8"/>
        <v>8176.5592154629894</v>
      </c>
      <c r="V70" s="11">
        <f>V$69*$D$67/$D$47</f>
        <v>1.0082775228741243E-15</v>
      </c>
      <c r="W70" s="14">
        <f t="shared" si="9"/>
        <v>3.0248325686223732E-11</v>
      </c>
      <c r="X70" s="14">
        <f t="shared" si="12"/>
        <v>1392.2204568526936</v>
      </c>
      <c r="Y70" s="14">
        <f t="shared" si="13"/>
        <v>1324.1390666260031</v>
      </c>
      <c r="Z70" s="14">
        <f t="shared" si="10"/>
        <v>39.724171998780093</v>
      </c>
      <c r="AA70" s="14">
        <f t="shared" si="11"/>
        <v>1431.9446288514737</v>
      </c>
      <c r="AB70" s="14">
        <f>W70*(VLOOKUP(107,$A$24:$K$72,11,FALSE)-1)</f>
        <v>2.7464073724192746E-11</v>
      </c>
      <c r="AC70" s="11">
        <f>AC$69*$D$66/$D$47</f>
        <v>1.3917984765278553E-13</v>
      </c>
      <c r="AD70" s="14">
        <f t="shared" si="14"/>
        <v>4.1753954295835658E-9</v>
      </c>
      <c r="AE70" s="14">
        <f t="shared" si="17"/>
        <v>2343.334547515331</v>
      </c>
      <c r="AF70" s="14">
        <f t="shared" si="18"/>
        <v>2581.3946681713433</v>
      </c>
      <c r="AG70" s="14">
        <f t="shared" si="15"/>
        <v>77.441840045140296</v>
      </c>
      <c r="AH70" s="14">
        <f t="shared" si="16"/>
        <v>2420.7763875604714</v>
      </c>
      <c r="AI70" s="14">
        <f>AD70*(VLOOKUP(106,$A$24:$K$72,11,FALSE)-1)</f>
        <v>4.3668578073026752E-9</v>
      </c>
      <c r="AJ70" s="11">
        <f>AJ$69*$D$65/$D$47</f>
        <v>1.2117530632429337E-11</v>
      </c>
      <c r="AK70" s="14">
        <f t="shared" si="19"/>
        <v>3.6352591897288012E-7</v>
      </c>
      <c r="AL70" s="14">
        <f t="shared" si="22"/>
        <v>3892.0115539223038</v>
      </c>
      <c r="AM70" s="14">
        <f t="shared" si="23"/>
        <v>4819.3106289195111</v>
      </c>
      <c r="AN70" s="14">
        <f t="shared" si="20"/>
        <v>144.57931886758533</v>
      </c>
      <c r="AO70" s="14">
        <f t="shared" si="21"/>
        <v>4036.5908727898891</v>
      </c>
      <c r="AP70" s="14">
        <f>AK70*(VLOOKUP(105,$A$24:$K$72,11,FALSE)-1)</f>
        <v>4.254374579158294E-7</v>
      </c>
      <c r="AQ70" s="11">
        <f>AQ$69*$D$64/$D$47</f>
        <v>7.644093415787532E-10</v>
      </c>
      <c r="AR70" s="14">
        <f t="shared" si="24"/>
        <v>2.2932280247362595E-5</v>
      </c>
      <c r="AS70" s="14">
        <f t="shared" si="27"/>
        <v>7102.0137244151365</v>
      </c>
      <c r="AT70" s="14">
        <f t="shared" si="28"/>
        <v>9736.3808962160001</v>
      </c>
      <c r="AU70" s="14">
        <f t="shared" si="25"/>
        <v>292.09142688648001</v>
      </c>
      <c r="AV70" s="14">
        <f t="shared" si="26"/>
        <v>7394.1051513016164</v>
      </c>
      <c r="AW70" s="14">
        <f>AR70*(VLOOKUP(104,$A$24:$K$72,11,FALSE)-1)</f>
        <v>2.9596310292021233E-5</v>
      </c>
      <c r="AX70" s="11">
        <f>AX$69*$D$63/$D$47</f>
        <v>3.3270679146156231E-8</v>
      </c>
      <c r="AY70" s="14">
        <f t="shared" si="29"/>
        <v>9.9812037438468701E-4</v>
      </c>
      <c r="AZ70" s="14">
        <f t="shared" si="32"/>
        <v>13177.955410420995</v>
      </c>
      <c r="BA70" s="14">
        <f t="shared" si="33"/>
        <v>19821.220102193984</v>
      </c>
      <c r="BB70" s="14">
        <f t="shared" si="30"/>
        <v>594.63660306581949</v>
      </c>
      <c r="BC70" s="14">
        <f t="shared" si="31"/>
        <v>13772.592013486814</v>
      </c>
      <c r="BD70" s="14">
        <f>AY70*(VLOOKUP(103,$A$24:$K$72,11,FALSE)-1)</f>
        <v>1.4081774252770298E-3</v>
      </c>
      <c r="BE70" s="11">
        <f>BE$69*$D$62/$D$47</f>
        <v>9.3040008104266685E-7</v>
      </c>
      <c r="BF70" s="14">
        <f t="shared" si="34"/>
        <v>2.7912002431280006E-2</v>
      </c>
      <c r="BG70" s="14">
        <f t="shared" si="37"/>
        <v>22552.577885835741</v>
      </c>
      <c r="BH70" s="14">
        <f t="shared" si="38"/>
        <v>36996.347171385511</v>
      </c>
      <c r="BI70" s="14">
        <f t="shared" si="35"/>
        <v>1109.8904151415652</v>
      </c>
      <c r="BJ70" s="14">
        <f t="shared" si="36"/>
        <v>23662.468300977307</v>
      </c>
      <c r="BK70" s="14">
        <f>BF70*(VLOOKUP(102,$A$24:$K$72,11,FALSE)-1)</f>
        <v>4.2798428451177206E-2</v>
      </c>
      <c r="BL70" s="11">
        <f>BL$69*$D$61/$D$47</f>
        <v>1.7553160467390202E-5</v>
      </c>
      <c r="BM70" s="14">
        <f t="shared" si="39"/>
        <v>0.52659481402170605</v>
      </c>
      <c r="BN70" s="14">
        <f t="shared" si="42"/>
        <v>36487.985531221566</v>
      </c>
      <c r="BO70" s="14">
        <f t="shared" si="43"/>
        <v>64994.103668229698</v>
      </c>
      <c r="BP70" s="14">
        <f t="shared" si="40"/>
        <v>1949.8231100468909</v>
      </c>
      <c r="BQ70" s="14">
        <f t="shared" si="41"/>
        <v>38437.808641268457</v>
      </c>
      <c r="BR70" s="14">
        <f>BM70*(VLOOKUP(101,$A$24:$K$72,11,FALSE)-1)</f>
        <v>0.87373187432574495</v>
      </c>
      <c r="BS70" s="11">
        <f>BS$69*$D$60/$D$47</f>
        <v>2.324866718204658E-4</v>
      </c>
      <c r="BT70" s="14">
        <f t="shared" si="44"/>
        <v>6.9746001546139738</v>
      </c>
      <c r="BU70" s="14">
        <f t="shared" si="47"/>
        <v>56789.87149064181</v>
      </c>
      <c r="BV70" s="14">
        <f t="shared" si="48"/>
        <v>109457.02321439449</v>
      </c>
      <c r="BW70" s="14">
        <f t="shared" si="45"/>
        <v>3283.7106964318345</v>
      </c>
      <c r="BX70" s="14">
        <f t="shared" si="46"/>
        <v>60073.582187073647</v>
      </c>
      <c r="BY70" s="14">
        <f>BT70*(VLOOKUP(100,$A$24:$K$72,11,FALSE)-1)</f>
        <v>12.47866463424973</v>
      </c>
      <c r="BZ70" s="11">
        <f>BZ$69*$D$59/$D$47</f>
        <v>2.2222243478157168E-3</v>
      </c>
      <c r="CA70" s="14">
        <f t="shared" si="49"/>
        <v>66.666730434471503</v>
      </c>
      <c r="CB70" s="14">
        <f t="shared" si="52"/>
        <v>85615.885342611713</v>
      </c>
      <c r="CC70" s="14">
        <f t="shared" si="53"/>
        <v>178049.17300076876</v>
      </c>
      <c r="CD70" s="14">
        <f t="shared" si="50"/>
        <v>5341.4751900230622</v>
      </c>
      <c r="CE70" s="14">
        <f t="shared" si="51"/>
        <v>90957.360532634775</v>
      </c>
      <c r="CF70" s="14">
        <f>CA70*(VLOOKUP(99,$A$24:$K$72,11,FALSE)-1)</f>
        <v>128.24725184816452</v>
      </c>
      <c r="CG70" s="11">
        <f>CG$69*$D$58/$D$47</f>
        <v>1.5448300882590657E-2</v>
      </c>
      <c r="CH70" s="14">
        <f t="shared" si="54"/>
        <v>463.44902647771971</v>
      </c>
      <c r="CI70" s="14">
        <f t="shared" si="57"/>
        <v>123177.34943046366</v>
      </c>
      <c r="CJ70" s="14">
        <f t="shared" si="58"/>
        <v>275704.59280429501</v>
      </c>
      <c r="CK70" s="14">
        <f t="shared" si="55"/>
        <v>8271.1377841288504</v>
      </c>
      <c r="CL70" s="14">
        <f t="shared" si="56"/>
        <v>131448.48721459252</v>
      </c>
      <c r="CM70" s="14">
        <f>CH70*(VLOOKUP(98,$A$24:$K$72,11,FALSE)-1)</f>
        <v>956.12242967656118</v>
      </c>
      <c r="CN70" s="11">
        <f>CN$69*$D$57/$D$47</f>
        <v>8.0681745917733777E-2</v>
      </c>
      <c r="CO70" s="14">
        <f t="shared" si="59"/>
        <v>2420.4523775320131</v>
      </c>
      <c r="CP70" s="14">
        <f t="shared" si="62"/>
        <v>170010.54204330046</v>
      </c>
      <c r="CQ70" s="14">
        <f t="shared" si="63"/>
        <v>410097.71319120959</v>
      </c>
      <c r="CR70" s="14">
        <f t="shared" si="60"/>
        <v>12302.931395736287</v>
      </c>
      <c r="CS70" s="14">
        <f t="shared" si="61"/>
        <v>182313.47343903675</v>
      </c>
      <c r="CT70" s="14">
        <f>CO70*(VLOOKUP(97,$A$24:$K$72,11,FALSE)-1)</f>
        <v>5361.8242665104954</v>
      </c>
      <c r="CU70" s="11">
        <f>CU$69*$D$56/$D$47</f>
        <v>0.3274929895462026</v>
      </c>
      <c r="CV70" s="14">
        <f t="shared" si="64"/>
        <v>9824.7896863860788</v>
      </c>
      <c r="CW70" s="14">
        <f t="shared" si="67"/>
        <v>226769.53704593348</v>
      </c>
      <c r="CX70" s="14">
        <f t="shared" si="68"/>
        <v>591245.85195517866</v>
      </c>
      <c r="CY70" s="14">
        <f t="shared" si="65"/>
        <v>17737.37555865536</v>
      </c>
      <c r="CZ70" s="14">
        <f t="shared" si="66"/>
        <v>244506.91260458884</v>
      </c>
      <c r="DA70" s="14">
        <f>CV70*(VLOOKUP(96,$A$24:$K$72,11,FALSE)-1)</f>
        <v>23433.996469272348</v>
      </c>
      <c r="DB70" s="11">
        <f>DB$69*$D$55/$D$47</f>
        <v>1.0634723867453875</v>
      </c>
      <c r="DC70" s="14">
        <f t="shared" si="69"/>
        <v>31904.171602361625</v>
      </c>
      <c r="DD70" s="14">
        <f t="shared" si="72"/>
        <v>293302.07787093031</v>
      </c>
      <c r="DE70" s="14">
        <f t="shared" si="73"/>
        <v>829483.90377604822</v>
      </c>
      <c r="DF70" s="14">
        <f t="shared" si="70"/>
        <v>24884.517113281447</v>
      </c>
      <c r="DG70" s="14">
        <f t="shared" si="71"/>
        <v>318186.59498421178</v>
      </c>
      <c r="DH70" s="14">
        <f>DC70*(VLOOKUP(95,$A$24:$K$72,11,FALSE)-1)</f>
        <v>82207.121743079435</v>
      </c>
      <c r="DI70" s="11">
        <f>DI$69*$D$54/$D$47</f>
        <v>2.8353892721119265</v>
      </c>
      <c r="DJ70" s="14">
        <f t="shared" si="74"/>
        <v>85061.678163357792</v>
      </c>
      <c r="DK70" s="14">
        <f t="shared" si="77"/>
        <v>368496.96584436845</v>
      </c>
      <c r="DL70" s="14">
        <f t="shared" si="78"/>
        <v>1134294.4846196272</v>
      </c>
      <c r="DM70" s="14">
        <f t="shared" si="75"/>
        <v>34028.834538588817</v>
      </c>
      <c r="DN70" s="14">
        <f t="shared" si="76"/>
        <v>402525.80038295727</v>
      </c>
      <c r="DO70" s="14">
        <f>DJ70*(VLOOKUP(94,$A$24:$K$72,11,FALSE)-1)</f>
        <v>237513.30292920259</v>
      </c>
      <c r="DP70" s="11">
        <f>DP$69*$D$53/$D$47</f>
        <v>6.3497160971943227</v>
      </c>
      <c r="DQ70" s="14">
        <f t="shared" si="79"/>
        <v>190491.48291582969</v>
      </c>
      <c r="DR70" s="14">
        <f t="shared" si="82"/>
        <v>450261.68163605983</v>
      </c>
      <c r="DS70" s="14">
        <f t="shared" si="83"/>
        <v>1513246.5850985146</v>
      </c>
      <c r="DT70" s="14">
        <f t="shared" si="80"/>
        <v>45397.397552955437</v>
      </c>
      <c r="DU70" s="14">
        <f t="shared" si="81"/>
        <v>495659.07918901526</v>
      </c>
      <c r="DV70" s="14">
        <f>DQ70*(VLOOKUP(93,$A$24:$K$72,11,FALSE)-1)</f>
        <v>577982.89507045224</v>
      </c>
      <c r="DW70" s="11">
        <f>DW$69*$D$52/$D$47</f>
        <v>12.152759213422311</v>
      </c>
      <c r="DX70" s="14">
        <f t="shared" si="84"/>
        <v>364582.77640266932</v>
      </c>
      <c r="DY70" s="14">
        <f t="shared" si="87"/>
        <v>537291.12750458927</v>
      </c>
      <c r="DZ70" s="14">
        <f t="shared" si="88"/>
        <v>1974469.4019456699</v>
      </c>
      <c r="EA70" s="14">
        <f t="shared" si="85"/>
        <v>59234.082058370092</v>
      </c>
      <c r="EB70" s="14">
        <f t="shared" si="86"/>
        <v>596525.20956295938</v>
      </c>
      <c r="EC70" s="14">
        <f>DX70*(VLOOKUP(92,$A$24:$K$72,11,FALSE)-1)</f>
        <v>1203332.777375207</v>
      </c>
      <c r="ED70" s="11">
        <f>ED$69*$D$51/$D$47</f>
        <v>20.130406713391608</v>
      </c>
      <c r="EE70" s="14">
        <f t="shared" si="89"/>
        <v>603912.20140174823</v>
      </c>
      <c r="EF70" s="14">
        <f t="shared" si="92"/>
        <v>630003.24340516503</v>
      </c>
      <c r="EG70" s="14">
        <f t="shared" si="93"/>
        <v>2520482.1726611936</v>
      </c>
      <c r="EH70" s="14">
        <f t="shared" si="90"/>
        <v>75614.46517983581</v>
      </c>
      <c r="EI70" s="14">
        <f t="shared" si="91"/>
        <v>705617.70858500083</v>
      </c>
      <c r="EJ70" s="14">
        <f>EE70*(VLOOKUP(91,$A$24:$K$72,11,FALSE)-1)</f>
        <v>2157920.2081774888</v>
      </c>
      <c r="EK70" s="11">
        <f>EK$69*$D$50/$D$47</f>
        <v>29.307507045862724</v>
      </c>
      <c r="EL70" s="14">
        <f t="shared" si="94"/>
        <v>879225.21137588168</v>
      </c>
      <c r="EM70" s="14">
        <f t="shared" si="97"/>
        <v>727609.14601424104</v>
      </c>
      <c r="EN70" s="14">
        <f t="shared" si="98"/>
        <v>3155747.0443409914</v>
      </c>
      <c r="EO70" s="14">
        <f t="shared" si="95"/>
        <v>94672.411330229734</v>
      </c>
      <c r="EP70" s="14">
        <f t="shared" si="96"/>
        <v>822281.55734447076</v>
      </c>
      <c r="EQ70" s="14">
        <f>EL70*(VLOOKUP(90,$A$24:$K$72,11,FALSE)-1)</f>
        <v>3385756.8982967394</v>
      </c>
      <c r="ER70" s="11">
        <f>ER$69*$D$49/$D$47</f>
        <v>38.231077437883521</v>
      </c>
      <c r="ES70" s="14">
        <f t="shared" si="99"/>
        <v>1146932.3231365057</v>
      </c>
      <c r="ET70" s="14">
        <f t="shared" si="102"/>
        <v>826822.69265396683</v>
      </c>
      <c r="EU70" s="14">
        <f t="shared" si="103"/>
        <v>3885534.9994161241</v>
      </c>
      <c r="EV70" s="14">
        <f t="shared" si="100"/>
        <v>116566.04998248372</v>
      </c>
      <c r="EW70" s="14">
        <f t="shared" si="101"/>
        <v>943388.74263645057</v>
      </c>
      <c r="EX70" s="14">
        <f>ES70*(VLOOKUP(89,$A$24:$K$72,11,FALSE)-1)</f>
        <v>4756056.540223157</v>
      </c>
      <c r="EY70" s="11">
        <f>EY$69*$D$48/$D$47</f>
        <v>45.297181950821731</v>
      </c>
      <c r="EZ70" s="14">
        <f t="shared" si="104"/>
        <v>1358915.4585246518</v>
      </c>
      <c r="FA70" s="14">
        <f t="shared" si="107"/>
        <v>921849.45258386491</v>
      </c>
      <c r="FB70" s="14">
        <f t="shared" si="108"/>
        <v>4712792.3610184463</v>
      </c>
      <c r="FC70" s="14">
        <f t="shared" si="105"/>
        <v>141383.77083055337</v>
      </c>
      <c r="FD70" s="14">
        <f t="shared" si="106"/>
        <v>1063233.2234144183</v>
      </c>
      <c r="FE70" s="14">
        <f>EZ70*(VLOOKUP(88,$A$24:$K$72,11,FALSE)-1)</f>
        <v>6090905.0434839586</v>
      </c>
      <c r="FF70" s="11">
        <f>FF$69*$D$47/$D$47</f>
        <v>49.077182857196384</v>
      </c>
      <c r="FG70" s="14">
        <f t="shared" si="109"/>
        <v>1472315.4857158915</v>
      </c>
      <c r="FH70" s="14">
        <f t="shared" si="112"/>
        <v>1014494.3111700114</v>
      </c>
      <c r="FI70" s="14">
        <f t="shared" si="113"/>
        <v>5634773.399551861</v>
      </c>
      <c r="FJ70" s="14">
        <f t="shared" si="110"/>
        <v>169043.20198655582</v>
      </c>
      <c r="FK70" s="14">
        <f t="shared" si="111"/>
        <v>1183537.5131565672</v>
      </c>
      <c r="FL70" s="14">
        <f>FG70*(VLOOKUP(87,$A$24:$K$72,11,FALSE)-1)</f>
        <v>7120943.7167185694</v>
      </c>
      <c r="FM70" s="11">
        <f>FM$69*$D$46/$D$47</f>
        <v>49.080457589552196</v>
      </c>
      <c r="FN70" s="14">
        <f t="shared" si="114"/>
        <v>1472413.7276865658</v>
      </c>
      <c r="FO70" s="14">
        <f t="shared" ref="FO70:FO93" si="117">FP69/$G48</f>
        <v>1109417.1727588938</v>
      </c>
      <c r="FP70" s="14">
        <f t="shared" ref="FP70:FP93" si="118">FP69-FO70</f>
        <v>6649711.390877231</v>
      </c>
      <c r="FQ70" s="14">
        <f t="shared" si="115"/>
        <v>199491.34172631692</v>
      </c>
      <c r="FR70" s="14">
        <f t="shared" si="116"/>
        <v>1308908.5144852106</v>
      </c>
      <c r="FS70" s="14">
        <f>FN70*(VLOOKUP(86,$A$24:$K$72,11,FALSE)-1)</f>
        <v>7630155.2530002277</v>
      </c>
      <c r="FT70" s="11">
        <f>($N69-$N70)+(FM69-FM70)+(FF69-FF70)+(EY69-EY70)+(ER69-ER70)+(EK69-EK70)+(ED69-ED70)+(DW69-DW70)+(DP69-DP70)+(DI69-DI70)+(DB69-DB70)+(CU69-CU70)+(CN69-CN70)+(CG69-CG70)+(BZ69-BZ70)+(BS69-BS70)+(BL69-BL70)+(BE69-BE70)+(AX69-AX70)+(AQ69-AQ70)+(AJ69-AJ70)+(AC69-AC70)+(V69-V70)</f>
        <v>45.678770433197698</v>
      </c>
      <c r="FU70" s="14">
        <f t="shared" ref="FU70:FU94" si="119">FT70*$B$21</f>
        <v>1370363.1129959309</v>
      </c>
      <c r="FV70" s="14">
        <f>FU$46/$G47</f>
        <v>1202087.1008718815</v>
      </c>
      <c r="FW70" s="14">
        <f>FU$46-FV70</f>
        <v>7759892.4444243181</v>
      </c>
      <c r="FX70" s="14">
        <f t="shared" ref="FX70:FX94" si="120">$B$20*FW70</f>
        <v>232796.77333272953</v>
      </c>
      <c r="FY70" s="14">
        <f t="shared" ref="FY70:FY94" si="121">FV70+FX70</f>
        <v>1434883.8742046109</v>
      </c>
      <c r="FZ70" s="14">
        <f>FU70*(VLOOKUP(85,$A$24:$K$72,11,FALSE)-1)</f>
        <v>7591616.4323002696</v>
      </c>
      <c r="HR70" s="15"/>
      <c r="HS70" s="15"/>
      <c r="HT70" s="15"/>
      <c r="HU70" s="14"/>
      <c r="HV70" s="14"/>
      <c r="NC70" s="15">
        <v>24</v>
      </c>
      <c r="ND70" s="15">
        <f>N70+V70+AC70+AJ70+AQ70+AX70+BE70+BL70+BS70+BZ70+CG70+CN70+CU70+DB70+DI70+DP70+DW70+ED70+EK70+ER70+EY70+FF70+FM70+FT70</f>
        <v>300</v>
      </c>
      <c r="NE70" s="14">
        <f>P70+W70+AD70+AK70+AR70+AY70+BF70+BM70+BT70+CA70+CH70+CO70+CV70+DC70+DJ70+DQ70+DX70+EE70+EL70+ES70+EZ70+FG70+FN70+FU70</f>
        <v>9000000</v>
      </c>
      <c r="NF70" s="14">
        <f>T70+AA70+AH70+AO70+AV70+BC70+BJ70+BQ70+BX70+CE70+CL70+CS70+CZ70+DG70+DN70+DU70+EB70+EI70+EP70+EW70+FD70+FK70+FR70+FY70</f>
        <v>10085164.225978913</v>
      </c>
      <c r="NH70" s="14">
        <f>U70+AB70+AI70+AP70+AW70+BD70+BK70+BR70+BY70+CF70+CM70+CT70+DA70+DH70+DO70+DV70+EC70+EJ70+EQ70+EX70+FE70+FL70+FS70+FZ70</f>
        <v>40872460.335584261</v>
      </c>
      <c r="NI70" s="14">
        <f>R70+Y70+AF70+AM70+AT70+BA70+BH70+BO70+BV70+CC70+CJ70+CQ70+CX70+DE70+DL70+DS70+DZ70+EG70+EN70+EU70+FB70+FI70+FP70+FW70</f>
        <v>41482715.5465471</v>
      </c>
    </row>
    <row r="71" spans="1:373" x14ac:dyDescent="0.25">
      <c r="A71" s="1">
        <f>'CCRC F'!A71</f>
        <v>109</v>
      </c>
      <c r="B71" s="3">
        <f>'CCRC F'!B71</f>
        <v>0.5</v>
      </c>
      <c r="D71">
        <f t="shared" si="5"/>
        <v>2.9440154568743524</v>
      </c>
      <c r="E71">
        <f t="shared" si="6"/>
        <v>1.4720077284371762</v>
      </c>
      <c r="F71">
        <f>F72+D71</f>
        <v>4.4160231853115288</v>
      </c>
      <c r="G71">
        <f t="shared" si="2"/>
        <v>1.5</v>
      </c>
      <c r="I71">
        <f t="shared" si="3"/>
        <v>0.11740391869069143</v>
      </c>
      <c r="J71">
        <f>J72+I71</f>
        <v>0.17439611222986204</v>
      </c>
      <c r="K71" s="18">
        <f t="shared" si="4"/>
        <v>1.4854368932038835</v>
      </c>
      <c r="M71">
        <v>25</v>
      </c>
      <c r="N71" s="9">
        <f>$B$18*$D$71/$D$47</f>
        <v>0.1889871823896446</v>
      </c>
      <c r="O71" s="6">
        <f>$B$18*$B$21*$K$71</f>
        <v>13368932.038834952</v>
      </c>
      <c r="P71" s="6">
        <f>$B$18*$B$21*$D$71/$D$47</f>
        <v>5669.6154716893379</v>
      </c>
      <c r="Q71" s="6">
        <f>R70/$G$71</f>
        <v>4973.4056329941786</v>
      </c>
      <c r="R71" s="6">
        <f>R70-$Q$71</f>
        <v>2486.7028164970898</v>
      </c>
      <c r="S71" s="6">
        <f>$B$20*$R$71</f>
        <v>74.601084494912683</v>
      </c>
      <c r="T71" s="6">
        <f t="shared" si="7"/>
        <v>5048.006717489091</v>
      </c>
      <c r="U71" s="6">
        <f t="shared" si="8"/>
        <v>2752.2405202375426</v>
      </c>
      <c r="V71" s="11">
        <f>V$70*$D$68/$D$47</f>
        <v>4.0899096219949224E-18</v>
      </c>
      <c r="W71" s="14">
        <f t="shared" si="9"/>
        <v>1.2269728865984767E-13</v>
      </c>
      <c r="X71" s="14">
        <f t="shared" si="12"/>
        <v>749.71071601517554</v>
      </c>
      <c r="Y71" s="14">
        <f t="shared" si="13"/>
        <v>574.42835061082758</v>
      </c>
      <c r="Z71" s="14">
        <f t="shared" si="10"/>
        <v>17.232850518324828</v>
      </c>
      <c r="AA71" s="14">
        <f t="shared" si="11"/>
        <v>766.94356653350042</v>
      </c>
      <c r="AB71" s="14">
        <f>W71*(VLOOKUP(108,$A$24:$K$72,11,FALSE)-1)</f>
        <v>9.0386347273634443E-14</v>
      </c>
      <c r="AC71" s="11">
        <f>AC$70*$D$67/$D$47</f>
        <v>9.5818031416218876E-16</v>
      </c>
      <c r="AD71" s="14">
        <f t="shared" si="14"/>
        <v>2.8745409424865664E-11</v>
      </c>
      <c r="AE71" s="14">
        <f t="shared" si="17"/>
        <v>1323.0466855271561</v>
      </c>
      <c r="AF71" s="14">
        <f t="shared" si="18"/>
        <v>1258.3479826441871</v>
      </c>
      <c r="AG71" s="14">
        <f t="shared" si="15"/>
        <v>37.750439479325614</v>
      </c>
      <c r="AH71" s="14">
        <f t="shared" si="16"/>
        <v>1360.7971250064818</v>
      </c>
      <c r="AI71" s="14">
        <f>AD71*(VLOOKUP(107,$A$24:$K$72,11,FALSE)-1)</f>
        <v>2.6099495617245661E-11</v>
      </c>
      <c r="AJ71" s="11">
        <f>AJ$70*$D$66/$D$47</f>
        <v>1.362005685486085E-13</v>
      </c>
      <c r="AK71" s="14">
        <f t="shared" si="19"/>
        <v>4.0860170564582546E-9</v>
      </c>
      <c r="AL71" s="14">
        <f t="shared" si="22"/>
        <v>2293.1732075710206</v>
      </c>
      <c r="AM71" s="14">
        <f t="shared" si="23"/>
        <v>2526.1374213484905</v>
      </c>
      <c r="AN71" s="14">
        <f t="shared" si="20"/>
        <v>75.784122640454711</v>
      </c>
      <c r="AO71" s="14">
        <f t="shared" si="21"/>
        <v>2368.9573302114754</v>
      </c>
      <c r="AP71" s="14">
        <f>AK71*(VLOOKUP(106,$A$24:$K$72,11,FALSE)-1)</f>
        <v>4.2733809970056429E-9</v>
      </c>
      <c r="AQ71" s="11">
        <f>AQ$70*$D$65/$D$47</f>
        <v>1.3543396890001099E-11</v>
      </c>
      <c r="AR71" s="14">
        <f t="shared" si="24"/>
        <v>4.0630190670003298E-7</v>
      </c>
      <c r="AS71" s="14">
        <f t="shared" si="27"/>
        <v>4349.983406204271</v>
      </c>
      <c r="AT71" s="14">
        <f t="shared" si="28"/>
        <v>5386.3974900117291</v>
      </c>
      <c r="AU71" s="14">
        <f t="shared" si="25"/>
        <v>161.59192470035188</v>
      </c>
      <c r="AV71" s="14">
        <f t="shared" si="26"/>
        <v>4511.5753309046231</v>
      </c>
      <c r="AW71" s="14">
        <f>AR71*(VLOOKUP(105,$A$24:$K$72,11,FALSE)-1)</f>
        <v>4.7549855818041955E-7</v>
      </c>
      <c r="AX71" s="11">
        <f>AX$70*$D$64/$D$47</f>
        <v>8.9982009264952773E-10</v>
      </c>
      <c r="AY71" s="14">
        <f t="shared" si="29"/>
        <v>2.6994602779485833E-5</v>
      </c>
      <c r="AZ71" s="14">
        <f t="shared" si="32"/>
        <v>8360.0949123710761</v>
      </c>
      <c r="BA71" s="14">
        <f t="shared" si="33"/>
        <v>11461.125189822907</v>
      </c>
      <c r="BB71" s="14">
        <f t="shared" si="30"/>
        <v>343.83375569468723</v>
      </c>
      <c r="BC71" s="14">
        <f t="shared" si="31"/>
        <v>8703.9286680657642</v>
      </c>
      <c r="BD71" s="14">
        <f>AY71*(VLOOKUP(104,$A$24:$K$72,11,FALSE)-1)</f>
        <v>3.483912770355257E-5</v>
      </c>
      <c r="BE71" s="11">
        <f>BE$70*$D$63/$D$47</f>
        <v>3.7300737888085256E-8</v>
      </c>
      <c r="BF71" s="14">
        <f t="shared" si="34"/>
        <v>1.1190221366425576E-3</v>
      </c>
      <c r="BG71" s="14">
        <f t="shared" si="37"/>
        <v>14774.193773010995</v>
      </c>
      <c r="BH71" s="14">
        <f t="shared" si="38"/>
        <v>22222.153398374518</v>
      </c>
      <c r="BI71" s="14">
        <f t="shared" si="35"/>
        <v>666.66460195123545</v>
      </c>
      <c r="BJ71" s="14">
        <f t="shared" si="36"/>
        <v>15440.85837496223</v>
      </c>
      <c r="BK71" s="14">
        <f>BF71*(VLOOKUP(103,$A$24:$K$72,11,FALSE)-1)</f>
        <v>1.5787491685827397E-3</v>
      </c>
      <c r="BL71" s="11">
        <f>BL$70*$D$62/$D$47</f>
        <v>1.0154762535530153E-6</v>
      </c>
      <c r="BM71" s="14">
        <f t="shared" si="39"/>
        <v>3.0464287606590458E-2</v>
      </c>
      <c r="BN71" s="14">
        <f t="shared" si="42"/>
        <v>24614.795039362059</v>
      </c>
      <c r="BO71" s="14">
        <f t="shared" si="43"/>
        <v>40379.308628867642</v>
      </c>
      <c r="BP71" s="14">
        <f t="shared" si="40"/>
        <v>1211.3792588660292</v>
      </c>
      <c r="BQ71" s="14">
        <f t="shared" si="41"/>
        <v>25826.174298228088</v>
      </c>
      <c r="BR71" s="14">
        <f>BM71*(VLOOKUP(102,$A$24:$K$72,11,FALSE)-1)</f>
        <v>4.6711934647354306E-2</v>
      </c>
      <c r="BS71" s="11">
        <f>BS$70*$D$61/$D$47</f>
        <v>1.8932569361958999E-5</v>
      </c>
      <c r="BT71" s="14">
        <f t="shared" si="44"/>
        <v>0.56797708085876997</v>
      </c>
      <c r="BU71" s="14">
        <f t="shared" si="47"/>
        <v>39355.380943014767</v>
      </c>
      <c r="BV71" s="14">
        <f t="shared" si="48"/>
        <v>70101.642271379722</v>
      </c>
      <c r="BW71" s="14">
        <f t="shared" si="45"/>
        <v>2103.0492681413916</v>
      </c>
      <c r="BX71" s="14">
        <f t="shared" si="46"/>
        <v>41458.430211156156</v>
      </c>
      <c r="BY71" s="14">
        <f>BT71*(VLOOKUP(101,$A$24:$K$72,11,FALSE)-1)</f>
        <v>0.94239378402299012</v>
      </c>
      <c r="BZ71" s="11">
        <f>BZ$70*$D$60/$D$47</f>
        <v>2.4899147574923748E-4</v>
      </c>
      <c r="CA71" s="14">
        <f t="shared" si="49"/>
        <v>7.4697442724771248</v>
      </c>
      <c r="CB71" s="14">
        <f t="shared" si="52"/>
        <v>60821.52494739135</v>
      </c>
      <c r="CC71" s="14">
        <f t="shared" si="53"/>
        <v>117227.6480533774</v>
      </c>
      <c r="CD71" s="14">
        <f t="shared" si="50"/>
        <v>3516.8294416013218</v>
      </c>
      <c r="CE71" s="14">
        <f t="shared" si="51"/>
        <v>64338.354388992673</v>
      </c>
      <c r="CF71" s="14">
        <f>CA71*(VLOOKUP(100,$A$24:$K$72,11,FALSE)-1)</f>
        <v>13.364555904783455</v>
      </c>
      <c r="CG71" s="11">
        <f>CG$70*$D$59/$D$47</f>
        <v>2.3236960664556904E-3</v>
      </c>
      <c r="CH71" s="14">
        <f t="shared" si="54"/>
        <v>69.710881993670711</v>
      </c>
      <c r="CI71" s="14">
        <f t="shared" si="57"/>
        <v>89525.297566060995</v>
      </c>
      <c r="CJ71" s="14">
        <f t="shared" si="58"/>
        <v>186179.29523823402</v>
      </c>
      <c r="CK71" s="14">
        <f t="shared" si="55"/>
        <v>5585.3788571470204</v>
      </c>
      <c r="CL71" s="14">
        <f t="shared" si="56"/>
        <v>95110.676423208017</v>
      </c>
      <c r="CM71" s="14">
        <f>CH71*(VLOOKUP(99,$A$24:$K$72,11,FALSE)-1)</f>
        <v>134.10330732189655</v>
      </c>
      <c r="CN71" s="11">
        <f>CN$70*$D$58/$D$47</f>
        <v>1.5882676536185671E-2</v>
      </c>
      <c r="CO71" s="14">
        <f t="shared" si="59"/>
        <v>476.4802960855701</v>
      </c>
      <c r="CP71" s="14">
        <f t="shared" si="62"/>
        <v>126640.85276805451</v>
      </c>
      <c r="CQ71" s="14">
        <f t="shared" si="63"/>
        <v>283456.86042315507</v>
      </c>
      <c r="CR71" s="14">
        <f t="shared" si="60"/>
        <v>8503.7058126946522</v>
      </c>
      <c r="CS71" s="14">
        <f t="shared" si="61"/>
        <v>135144.55858074917</v>
      </c>
      <c r="CT71" s="14">
        <f>CO71*(VLOOKUP(98,$A$24:$K$72,11,FALSE)-1)</f>
        <v>983.00670054000909</v>
      </c>
      <c r="CU71" s="11">
        <f>CU$70*$D$57/$D$47</f>
        <v>8.2230768433174284E-2</v>
      </c>
      <c r="CV71" s="14">
        <f t="shared" si="64"/>
        <v>2466.9230529952283</v>
      </c>
      <c r="CW71" s="14">
        <f t="shared" si="67"/>
        <v>173274.60325679774</v>
      </c>
      <c r="CX71" s="14">
        <f t="shared" si="68"/>
        <v>417971.24869838089</v>
      </c>
      <c r="CY71" s="14">
        <f t="shared" si="65"/>
        <v>12539.137460951426</v>
      </c>
      <c r="CZ71" s="14">
        <f t="shared" si="66"/>
        <v>185813.74071774917</v>
      </c>
      <c r="DA71" s="14">
        <f>CV71*(VLOOKUP(97,$A$24:$K$72,11,FALSE)-1)</f>
        <v>5464.7668394331085</v>
      </c>
      <c r="DB71" s="11">
        <f>DB$70*$D$56/$D$47</f>
        <v>0.33208441684671453</v>
      </c>
      <c r="DC71" s="14">
        <f t="shared" si="69"/>
        <v>9962.5325054014356</v>
      </c>
      <c r="DD71" s="14">
        <f t="shared" si="72"/>
        <v>229948.82905080938</v>
      </c>
      <c r="DE71" s="14">
        <f t="shared" si="73"/>
        <v>599535.07472523884</v>
      </c>
      <c r="DF71" s="14">
        <f t="shared" si="70"/>
        <v>17986.052241757163</v>
      </c>
      <c r="DG71" s="14">
        <f t="shared" si="71"/>
        <v>247934.88129256654</v>
      </c>
      <c r="DH71" s="14">
        <f>DC71*(VLOOKUP(96,$A$24:$K$72,11,FALSE)-1)</f>
        <v>23762.539352887074</v>
      </c>
      <c r="DI71" s="11">
        <f>DI$70*$D$55/$D$47</f>
        <v>1.074372928188055</v>
      </c>
      <c r="DJ71" s="14">
        <f t="shared" si="74"/>
        <v>32231.187845641649</v>
      </c>
      <c r="DK71" s="14">
        <f t="shared" si="77"/>
        <v>296308.41023545654</v>
      </c>
      <c r="DL71" s="14">
        <f t="shared" si="78"/>
        <v>837986.0743841707</v>
      </c>
      <c r="DM71" s="14">
        <f t="shared" si="75"/>
        <v>25139.582231525121</v>
      </c>
      <c r="DN71" s="14">
        <f t="shared" si="76"/>
        <v>321447.99246698164</v>
      </c>
      <c r="DO71" s="14">
        <f>DJ71*(VLOOKUP(95,$A$24:$K$72,11,FALSE)-1)</f>
        <v>83049.740835602614</v>
      </c>
      <c r="DP71" s="11">
        <f>DP$70*$D$54/$D$47</f>
        <v>2.8551154800112672</v>
      </c>
      <c r="DQ71" s="14">
        <f t="shared" si="79"/>
        <v>85653.464400338024</v>
      </c>
      <c r="DR71" s="14">
        <f t="shared" si="82"/>
        <v>371060.65183627699</v>
      </c>
      <c r="DS71" s="14">
        <f t="shared" si="83"/>
        <v>1142185.9332622376</v>
      </c>
      <c r="DT71" s="14">
        <f t="shared" si="80"/>
        <v>34265.577997867127</v>
      </c>
      <c r="DU71" s="14">
        <f t="shared" si="81"/>
        <v>405326.22983414412</v>
      </c>
      <c r="DV71" s="14">
        <f>DQ71*(VLOOKUP(94,$A$24:$K$72,11,FALSE)-1)</f>
        <v>239165.71688115029</v>
      </c>
      <c r="DW71" s="11">
        <f>DW$70*$D$53/$D$47</f>
        <v>6.3851629032366324</v>
      </c>
      <c r="DX71" s="14">
        <f t="shared" si="84"/>
        <v>191554.88709709898</v>
      </c>
      <c r="DY71" s="14">
        <f t="shared" si="87"/>
        <v>452775.23314811732</v>
      </c>
      <c r="DZ71" s="14">
        <f t="shared" si="88"/>
        <v>1521694.1687975526</v>
      </c>
      <c r="EA71" s="14">
        <f t="shared" si="85"/>
        <v>45650.825063926575</v>
      </c>
      <c r="EB71" s="14">
        <f t="shared" si="86"/>
        <v>498426.05821204389</v>
      </c>
      <c r="EC71" s="14">
        <f>DX71*(VLOOKUP(93,$A$24:$K$72,11,FALSE)-1)</f>
        <v>581209.4405196869</v>
      </c>
      <c r="ED71" s="11">
        <f>ED$70*$D$52/$D$47</f>
        <v>12.194957515627127</v>
      </c>
      <c r="EE71" s="14">
        <f t="shared" si="89"/>
        <v>365848.72546881379</v>
      </c>
      <c r="EF71" s="14">
        <f t="shared" si="92"/>
        <v>539156.77570614032</v>
      </c>
      <c r="EG71" s="14">
        <f t="shared" si="93"/>
        <v>1981325.3969550533</v>
      </c>
      <c r="EH71" s="14">
        <f t="shared" si="90"/>
        <v>59439.761908651599</v>
      </c>
      <c r="EI71" s="14">
        <f t="shared" si="91"/>
        <v>598596.53761479189</v>
      </c>
      <c r="EJ71" s="14">
        <f>EE71*(VLOOKUP(92,$A$24:$K$72,11,FALSE)-1)</f>
        <v>1207511.1371452713</v>
      </c>
      <c r="EK71" s="11">
        <f>EK$70*$D$51/$D$47</f>
        <v>20.164026522136908</v>
      </c>
      <c r="EL71" s="14">
        <f t="shared" si="94"/>
        <v>604920.79566410719</v>
      </c>
      <c r="EM71" s="14">
        <f t="shared" si="97"/>
        <v>631055.41233815125</v>
      </c>
      <c r="EN71" s="14">
        <f t="shared" si="98"/>
        <v>2524691.6320028403</v>
      </c>
      <c r="EO71" s="14">
        <f t="shared" si="95"/>
        <v>75740.748960085199</v>
      </c>
      <c r="EP71" s="14">
        <f t="shared" si="96"/>
        <v>706796.16129823646</v>
      </c>
      <c r="EQ71" s="14">
        <f>EL71*(VLOOKUP(91,$A$24:$K$72,11,FALSE)-1)</f>
        <v>2161524.1524851951</v>
      </c>
      <c r="ER71" s="11">
        <f>ER$70*$D$50/$D$47</f>
        <v>29.323950415662875</v>
      </c>
      <c r="ES71" s="14">
        <f t="shared" si="99"/>
        <v>879718.51246988622</v>
      </c>
      <c r="ET71" s="14">
        <f t="shared" si="102"/>
        <v>728017.38088181789</v>
      </c>
      <c r="EU71" s="14">
        <f t="shared" si="103"/>
        <v>3157517.6185343061</v>
      </c>
      <c r="EV71" s="14">
        <f t="shared" si="100"/>
        <v>94725.528556029181</v>
      </c>
      <c r="EW71" s="14">
        <f t="shared" si="101"/>
        <v>822742.90943784709</v>
      </c>
      <c r="EX71" s="14">
        <f>ES71*(VLOOKUP(90,$A$24:$K$72,11,FALSE)-1)</f>
        <v>3387656.522602723</v>
      </c>
      <c r="EY71" s="11">
        <f>EY$70*$D$49/$D$47</f>
        <v>38.23460388118643</v>
      </c>
      <c r="EZ71" s="14">
        <f t="shared" si="104"/>
        <v>1147038.116435593</v>
      </c>
      <c r="FA71" s="14">
        <f t="shared" si="107"/>
        <v>826898.95896772668</v>
      </c>
      <c r="FB71" s="14">
        <f t="shared" si="108"/>
        <v>3885893.4020507196</v>
      </c>
      <c r="FC71" s="14">
        <f t="shared" si="105"/>
        <v>116576.80206152158</v>
      </c>
      <c r="FD71" s="14">
        <f t="shared" si="106"/>
        <v>943475.76102924824</v>
      </c>
      <c r="FE71" s="14">
        <f>EZ71*(VLOOKUP(89,$A$24:$K$72,11,FALSE)-1)</f>
        <v>4756495.2399632251</v>
      </c>
      <c r="FF71" s="11">
        <f>FF$70*$D$48/$D$47</f>
        <v>45.298239777192258</v>
      </c>
      <c r="FG71" s="14">
        <f t="shared" si="109"/>
        <v>1358947.1933157677</v>
      </c>
      <c r="FH71" s="14">
        <f t="shared" si="112"/>
        <v>921870.98056018935</v>
      </c>
      <c r="FI71" s="14">
        <f t="shared" si="113"/>
        <v>4712902.4189916719</v>
      </c>
      <c r="FJ71" s="14">
        <f t="shared" si="110"/>
        <v>141387.07256975016</v>
      </c>
      <c r="FK71" s="14">
        <f t="shared" si="111"/>
        <v>1063258.0531299396</v>
      </c>
      <c r="FL71" s="14">
        <f>FG71*(VLOOKUP(88,$A$24:$K$72,11,FALSE)-1)</f>
        <v>6091047.2845616126</v>
      </c>
      <c r="FM71" s="11">
        <f>FM$70*$D$47/$D$47</f>
        <v>49.080457589552196</v>
      </c>
      <c r="FN71" s="14">
        <f t="shared" si="114"/>
        <v>1472413.7276865658</v>
      </c>
      <c r="FO71" s="14">
        <f t="shared" si="117"/>
        <v>1014562.0044880084</v>
      </c>
      <c r="FP71" s="14">
        <f t="shared" si="118"/>
        <v>5635149.3863892229</v>
      </c>
      <c r="FQ71" s="14">
        <f t="shared" si="115"/>
        <v>169054.48159167668</v>
      </c>
      <c r="FR71" s="14">
        <f t="shared" si="116"/>
        <v>1183616.4860796852</v>
      </c>
      <c r="FS71" s="14">
        <f>FN71*(VLOOKUP(87,$A$24:$K$72,11,FALSE)-1)</f>
        <v>7121418.8700064206</v>
      </c>
      <c r="FT71" s="11">
        <f>FT$70*$D$46/$D$47</f>
        <v>49.085289526324622</v>
      </c>
      <c r="FU71" s="14">
        <f t="shared" si="119"/>
        <v>1472558.6857897388</v>
      </c>
      <c r="FV71" s="14">
        <f t="shared" ref="FV71:FV94" si="122">FW70/$G48</f>
        <v>1109526.3941047462</v>
      </c>
      <c r="FW71" s="14">
        <f t="shared" ref="FW71:FW94" si="123">FW70-FV71</f>
        <v>6650366.050319572</v>
      </c>
      <c r="FX71" s="14">
        <f t="shared" si="120"/>
        <v>199510.98150958715</v>
      </c>
      <c r="FY71" s="14">
        <f t="shared" si="121"/>
        <v>1309037.3756143334</v>
      </c>
      <c r="FZ71" s="14">
        <f>FU71*(VLOOKUP(86,$A$24:$K$72,11,FALSE)-1)</f>
        <v>7630906.4364560684</v>
      </c>
      <c r="GA71" s="11">
        <f>($N70-$N71)+(FT70-FT71)+(FM70-FM71)+(FF70-FF71)+(EY70-EY71)+(ER70-ER71)+(EK70-EK71)+(ED70-ED71)+(DW70-DW71)+(DP70-DP71)+(DI70-DI71)+(DB70-DB71)+(CU70-CU71)+(CN70-CN71)+(CG70-CG71)+(BZ70-BZ71)+(BS70-BS71)+(BL70-BL71)+(BE70-BE71)+(AX70-AX71)+(AQ70-AQ71)+(AJ70-AJ71)+(AC70-AC71)+(V70-V71)</f>
        <v>45.682045742873839</v>
      </c>
      <c r="GB71" s="14">
        <f t="shared" ref="GB71:GB95" si="124">GA71*$B$21</f>
        <v>1370461.3722862152</v>
      </c>
      <c r="GC71" s="14">
        <f>GB$46/$G47</f>
        <v>1202173.2942495854</v>
      </c>
      <c r="GD71" s="14">
        <f>GB$46-GC71</f>
        <v>7760448.8528076373</v>
      </c>
      <c r="GE71" s="14">
        <f t="shared" ref="GE71:GE95" si="125">$B$20*GD71</f>
        <v>232813.46558422912</v>
      </c>
      <c r="GF71" s="14">
        <f t="shared" ref="GF71:GF95" si="126">GC71+GE71</f>
        <v>1434986.7598338146</v>
      </c>
      <c r="GG71" s="14">
        <f>GB71*(VLOOKUP(85,$A$24:$K$72,11,FALSE)-1)</f>
        <v>7592160.7747710161</v>
      </c>
      <c r="HR71" s="15"/>
      <c r="HS71" s="15"/>
      <c r="HT71" s="15"/>
      <c r="HU71" s="14"/>
      <c r="HV71" s="14"/>
      <c r="NC71" s="15">
        <v>25</v>
      </c>
      <c r="ND71" s="15">
        <f>N71+V71+AC71+AJ71+AQ71+AX71+BE71+BL71+BS71+BZ71+CG71+CN71+CU71+DB71+DI71+DP71+DW71+ED71+EK71+ER71+EY71+FF71+FM71+FT71+GA71</f>
        <v>300</v>
      </c>
      <c r="NE71" s="14">
        <f>P71+W71+AD71+AK71+AR71+AY71+BF71+BM71+BT71+CA71+CH71+CO71+CV71+DC71+DJ71+DQ71+DX71+EE71+EL71+ES71+EZ71+FG71+FN71+FU71+GB71</f>
        <v>8999999.9999999981</v>
      </c>
      <c r="NF71" s="14">
        <f>T71+AA71+AH71+AO71+AV71+BC71+BJ71+BQ71+BX71+CE71+CL71+CS71+CZ71+DG71+DN71+DU71+EB71+EI71+EP71+EW71+FD71+FK71+FR71+FY71+GF71</f>
        <v>10121538.20757689</v>
      </c>
      <c r="NH71" s="14">
        <f>U71+AB71+AI71+AP71+AW71+BD71+BK71+BR71+BY71+CF71+CM71+CT71+DA71+DH71+DO71+DV71+EC71+EJ71+EQ71+EX71+FE71+FL71+FS71+FZ71+GG71</f>
        <v>40885256.328224078</v>
      </c>
      <c r="NI71" s="14">
        <f>R71+Y71+AF71+AM71+AT71+BA71+BH71+BO71+BV71+CC71+CJ71+CQ71+CX71+DE71+DL71+DS71+DZ71+EG71+EN71+EU71+FB71+FI71+FP71+FW71+GD71</f>
        <v>41570927.305182919</v>
      </c>
    </row>
    <row r="72" spans="1:373" x14ac:dyDescent="0.25">
      <c r="A72" s="1">
        <f>'CCRC F'!A72</f>
        <v>110</v>
      </c>
      <c r="B72" s="3">
        <f>'CCRC F'!B72</f>
        <v>0.5</v>
      </c>
      <c r="D72">
        <f t="shared" si="5"/>
        <v>1.4720077284371762</v>
      </c>
      <c r="E72">
        <f t="shared" si="6"/>
        <v>0.7360038642185881</v>
      </c>
      <c r="F72">
        <f>D72</f>
        <v>1.4720077284371762</v>
      </c>
      <c r="G72">
        <f t="shared" si="2"/>
        <v>1</v>
      </c>
      <c r="I72">
        <f t="shared" si="3"/>
        <v>5.6992193539170607E-2</v>
      </c>
      <c r="J72">
        <f>I72</f>
        <v>5.6992193539170607E-2</v>
      </c>
      <c r="K72" s="18">
        <f t="shared" si="4"/>
        <v>1</v>
      </c>
      <c r="M72">
        <v>26</v>
      </c>
      <c r="N72" s="9">
        <f>$B$18*$D$72/$D$47</f>
        <v>9.4493591194822299E-2</v>
      </c>
      <c r="O72" s="6">
        <f>$B$18*$B$21*$K$72</f>
        <v>9000000</v>
      </c>
      <c r="P72" s="6">
        <f>$B$18*$B$21*$D$72/$D$47</f>
        <v>2834.807735844669</v>
      </c>
      <c r="Q72" s="6">
        <f>R71/$G$72</f>
        <v>2486.7028164970898</v>
      </c>
      <c r="R72" s="6">
        <f>R71-$Q$72</f>
        <v>0</v>
      </c>
      <c r="S72" s="6">
        <f>$B$20*$R$72</f>
        <v>0</v>
      </c>
      <c r="T72" s="6">
        <f t="shared" si="7"/>
        <v>2486.7028164970898</v>
      </c>
      <c r="U72" s="6">
        <f t="shared" si="8"/>
        <v>0</v>
      </c>
      <c r="V72" s="11">
        <f>V$71*$D$69/$D$47</f>
        <v>9.3667345012128829E-21</v>
      </c>
      <c r="W72" s="14">
        <f t="shared" si="9"/>
        <v>2.8100203503638646E-16</v>
      </c>
      <c r="X72" s="14">
        <f t="shared" si="12"/>
        <v>382.95223374055172</v>
      </c>
      <c r="Y72" s="14">
        <f t="shared" si="13"/>
        <v>191.47611687027586</v>
      </c>
      <c r="Z72" s="14">
        <f t="shared" si="10"/>
        <v>5.7442835061082755</v>
      </c>
      <c r="AA72" s="14">
        <f t="shared" si="11"/>
        <v>388.69651724665999</v>
      </c>
      <c r="AB72" s="14">
        <f>W72*(VLOOKUP(109,$A$24:$K$72,11,FALSE)-1)</f>
        <v>1.3640875487203227E-16</v>
      </c>
      <c r="AC72" s="11">
        <f>AC$71*$D$68/$D$47</f>
        <v>3.8866986495218086E-18</v>
      </c>
      <c r="AD72" s="14">
        <f t="shared" si="14"/>
        <v>1.1660095948565427E-13</v>
      </c>
      <c r="AE72" s="14">
        <f t="shared" si="17"/>
        <v>712.46064015637364</v>
      </c>
      <c r="AF72" s="14">
        <f t="shared" si="18"/>
        <v>545.8873424878135</v>
      </c>
      <c r="AG72" s="14">
        <f t="shared" si="15"/>
        <v>16.376620274634405</v>
      </c>
      <c r="AH72" s="14">
        <f t="shared" si="16"/>
        <v>728.83726043100808</v>
      </c>
      <c r="AI72" s="14">
        <f>AD72*(VLOOKUP(108,$A$24:$K$72,11,FALSE)-1)</f>
        <v>8.5895417344769971E-14</v>
      </c>
      <c r="AJ72" s="11">
        <f>AJ$71*$D$67/$D$47</f>
        <v>9.3766953881532359E-16</v>
      </c>
      <c r="AK72" s="14">
        <f t="shared" si="19"/>
        <v>2.8130086164459709E-11</v>
      </c>
      <c r="AL72" s="14">
        <f t="shared" si="22"/>
        <v>1294.7255929945986</v>
      </c>
      <c r="AM72" s="14">
        <f t="shared" si="23"/>
        <v>1231.4118283538919</v>
      </c>
      <c r="AN72" s="14">
        <f t="shared" si="20"/>
        <v>36.942354850616759</v>
      </c>
      <c r="AO72" s="14">
        <f t="shared" si="21"/>
        <v>1331.6679478452154</v>
      </c>
      <c r="AP72" s="14">
        <f>AK72*(VLOOKUP(107,$A$24:$K$72,11,FALSE)-1)</f>
        <v>2.5540810698176027E-11</v>
      </c>
      <c r="AQ72" s="11">
        <f>AQ$71*$D$66/$D$47</f>
        <v>1.5222724930118824E-13</v>
      </c>
      <c r="AR72" s="14">
        <f t="shared" si="24"/>
        <v>4.5668174790356469E-9</v>
      </c>
      <c r="AS72" s="14">
        <f t="shared" si="27"/>
        <v>2563.0102229355562</v>
      </c>
      <c r="AT72" s="14">
        <f t="shared" si="28"/>
        <v>2823.387267076173</v>
      </c>
      <c r="AU72" s="14">
        <f t="shared" si="25"/>
        <v>84.701618012285181</v>
      </c>
      <c r="AV72" s="14">
        <f t="shared" si="26"/>
        <v>2647.7118409478412</v>
      </c>
      <c r="AW72" s="14">
        <f>AR72*(VLOOKUP(106,$A$24:$K$72,11,FALSE)-1)</f>
        <v>4.7762284792370239E-9</v>
      </c>
      <c r="AX72" s="11">
        <f>AX$71*$D$65/$D$47</f>
        <v>1.5942532333763467E-11</v>
      </c>
      <c r="AY72" s="14">
        <f t="shared" si="29"/>
        <v>4.7827597001290403E-7</v>
      </c>
      <c r="AZ72" s="14">
        <f t="shared" si="32"/>
        <v>5120.5581338272841</v>
      </c>
      <c r="BA72" s="14">
        <f t="shared" si="33"/>
        <v>6340.5670559956234</v>
      </c>
      <c r="BB72" s="14">
        <f t="shared" si="30"/>
        <v>190.2170116798687</v>
      </c>
      <c r="BC72" s="14">
        <f t="shared" si="31"/>
        <v>5310.775145507153</v>
      </c>
      <c r="BD72" s="14">
        <f>AY72*(VLOOKUP(105,$A$24:$K$72,11,FALSE)-1)</f>
        <v>5.5973041327954704E-7</v>
      </c>
      <c r="BE72" s="11">
        <f>BE$71*$D$64/$D$47</f>
        <v>1.008814796803758E-9</v>
      </c>
      <c r="BF72" s="14">
        <f t="shared" si="34"/>
        <v>3.0264443904112741E-5</v>
      </c>
      <c r="BG72" s="14">
        <f t="shared" si="37"/>
        <v>9372.7485295981733</v>
      </c>
      <c r="BH72" s="14">
        <f t="shared" si="38"/>
        <v>12849.404868776344</v>
      </c>
      <c r="BI72" s="14">
        <f t="shared" si="35"/>
        <v>385.48214606329032</v>
      </c>
      <c r="BJ72" s="14">
        <f t="shared" si="36"/>
        <v>9758.2306756614635</v>
      </c>
      <c r="BK72" s="14">
        <f>BF72*(VLOOKUP(104,$A$24:$K$72,11,FALSE)-1)</f>
        <v>3.9059171741310199E-5</v>
      </c>
      <c r="BL72" s="11">
        <f>BL$71*$D$63/$D$47</f>
        <v>4.071153296000067E-8</v>
      </c>
      <c r="BM72" s="14">
        <f t="shared" si="39"/>
        <v>1.2213459888000201E-3</v>
      </c>
      <c r="BN72" s="14">
        <f t="shared" si="42"/>
        <v>16125.152230286087</v>
      </c>
      <c r="BO72" s="14">
        <f t="shared" si="43"/>
        <v>24254.156398581556</v>
      </c>
      <c r="BP72" s="14">
        <f t="shared" si="40"/>
        <v>727.62469195744666</v>
      </c>
      <c r="BQ72" s="14">
        <f t="shared" si="41"/>
        <v>16852.776922243535</v>
      </c>
      <c r="BR72" s="14">
        <f>BM72*(VLOOKUP(103,$A$24:$K$72,11,FALSE)-1)</f>
        <v>1.7231106528018654E-3</v>
      </c>
      <c r="BS72" s="11">
        <f>BS$71*$D$62/$D$47</f>
        <v>1.0952770950582654E-6</v>
      </c>
      <c r="BT72" s="14">
        <f t="shared" si="44"/>
        <v>3.2858312851747964E-2</v>
      </c>
      <c r="BU72" s="14">
        <f t="shared" si="47"/>
        <v>26549.139984157755</v>
      </c>
      <c r="BV72" s="14">
        <f t="shared" si="48"/>
        <v>43552.502287221971</v>
      </c>
      <c r="BW72" s="14">
        <f t="shared" si="45"/>
        <v>1306.5750686166591</v>
      </c>
      <c r="BX72" s="14">
        <f t="shared" si="46"/>
        <v>27855.715052774412</v>
      </c>
      <c r="BY72" s="14">
        <f>BT72*(VLOOKUP(102,$A$24:$K$72,11,FALSE)-1)</f>
        <v>5.038277547711726E-2</v>
      </c>
      <c r="BZ72" s="11">
        <f>BZ$71*$D$61/$D$47</f>
        <v>2.0276639293969169E-5</v>
      </c>
      <c r="CA72" s="14">
        <f t="shared" si="49"/>
        <v>0.60829917881907503</v>
      </c>
      <c r="CB72" s="14">
        <f t="shared" si="52"/>
        <v>42149.316788542201</v>
      </c>
      <c r="CC72" s="14">
        <f t="shared" si="53"/>
        <v>75078.3312648352</v>
      </c>
      <c r="CD72" s="14">
        <f t="shared" si="50"/>
        <v>2252.3499379450559</v>
      </c>
      <c r="CE72" s="14">
        <f t="shared" si="51"/>
        <v>44401.666726487259</v>
      </c>
      <c r="CF72" s="14">
        <f>CA72*(VLOOKUP(101,$A$24:$K$72,11,FALSE)-1)</f>
        <v>1.0092966499257892</v>
      </c>
      <c r="CG72" s="11">
        <f>CG$71*$D$60/$D$47</f>
        <v>2.6036098171105122E-4</v>
      </c>
      <c r="CH72" s="14">
        <f t="shared" si="54"/>
        <v>7.8108294513315366</v>
      </c>
      <c r="CI72" s="14">
        <f t="shared" si="57"/>
        <v>63598.771390929731</v>
      </c>
      <c r="CJ72" s="14">
        <f t="shared" si="58"/>
        <v>122580.52384730428</v>
      </c>
      <c r="CK72" s="14">
        <f t="shared" si="55"/>
        <v>3677.4157154191284</v>
      </c>
      <c r="CL72" s="14">
        <f t="shared" si="56"/>
        <v>67276.187106348865</v>
      </c>
      <c r="CM72" s="14">
        <f>CH72*(VLOOKUP(100,$A$24:$K$72,11,FALSE)-1)</f>
        <v>13.974811326496997</v>
      </c>
      <c r="CN72" s="11">
        <f>CN$71*$D$59/$D$47</f>
        <v>2.3890338019965838E-3</v>
      </c>
      <c r="CO72" s="14">
        <f t="shared" si="59"/>
        <v>71.671014059897516</v>
      </c>
      <c r="CP72" s="14">
        <f t="shared" si="62"/>
        <v>92042.571791822018</v>
      </c>
      <c r="CQ72" s="14">
        <f t="shared" si="63"/>
        <v>191414.28863133304</v>
      </c>
      <c r="CR72" s="14">
        <f t="shared" si="60"/>
        <v>5742.4286589399908</v>
      </c>
      <c r="CS72" s="14">
        <f t="shared" si="61"/>
        <v>97785.000450762003</v>
      </c>
      <c r="CT72" s="14">
        <f>CO72*(VLOOKUP(99,$A$24:$K$72,11,FALSE)-1)</f>
        <v>137.87402697643461</v>
      </c>
      <c r="CU72" s="11">
        <f>CU$71*$D$58/$D$47</f>
        <v>1.618761073511954E-2</v>
      </c>
      <c r="CV72" s="14">
        <f t="shared" si="64"/>
        <v>485.6283220535862</v>
      </c>
      <c r="CW72" s="14">
        <f t="shared" si="67"/>
        <v>129072.25196598863</v>
      </c>
      <c r="CX72" s="14">
        <f t="shared" si="68"/>
        <v>288898.99673239223</v>
      </c>
      <c r="CY72" s="14">
        <f t="shared" si="65"/>
        <v>8666.9699019717664</v>
      </c>
      <c r="CZ72" s="14">
        <f t="shared" si="66"/>
        <v>137739.22186796041</v>
      </c>
      <c r="DA72" s="14">
        <f>CV72*(VLOOKUP(98,$A$24:$K$72,11,FALSE)-1)</f>
        <v>1001.8796128034343</v>
      </c>
      <c r="DB72" s="11">
        <f>DB$71*$D$57/$D$47</f>
        <v>8.3383637676724576E-2</v>
      </c>
      <c r="DC72" s="14">
        <f t="shared" si="69"/>
        <v>2501.5091303017371</v>
      </c>
      <c r="DD72" s="14">
        <f t="shared" si="72"/>
        <v>175703.90027772344</v>
      </c>
      <c r="DE72" s="14">
        <f t="shared" si="73"/>
        <v>423831.1744475154</v>
      </c>
      <c r="DF72" s="14">
        <f t="shared" si="70"/>
        <v>12714.935233425462</v>
      </c>
      <c r="DG72" s="14">
        <f t="shared" si="71"/>
        <v>188418.83551114891</v>
      </c>
      <c r="DH72" s="14">
        <f>DC72*(VLOOKUP(97,$A$24:$K$72,11,FALSE)-1)</f>
        <v>5541.382463151569</v>
      </c>
      <c r="DI72" s="11">
        <f>DI$71*$D$56/$D$47</f>
        <v>0.33548826634334311</v>
      </c>
      <c r="DJ72" s="14">
        <f t="shared" si="74"/>
        <v>10064.647990300293</v>
      </c>
      <c r="DK72" s="14">
        <f t="shared" si="77"/>
        <v>232305.79362459792</v>
      </c>
      <c r="DL72" s="14">
        <f t="shared" si="78"/>
        <v>605680.28075957275</v>
      </c>
      <c r="DM72" s="14">
        <f t="shared" si="75"/>
        <v>18170.408422787183</v>
      </c>
      <c r="DN72" s="14">
        <f t="shared" si="76"/>
        <v>250476.2020473851</v>
      </c>
      <c r="DO72" s="14">
        <f>DJ72*(VLOOKUP(96,$A$24:$K$72,11,FALSE)-1)</f>
        <v>24006.10425238754</v>
      </c>
      <c r="DP72" s="11">
        <f>DP$71*$D$55/$D$47</f>
        <v>1.0818474940091618</v>
      </c>
      <c r="DQ72" s="14">
        <f t="shared" si="79"/>
        <v>32455.424820274853</v>
      </c>
      <c r="DR72" s="14">
        <f t="shared" si="82"/>
        <v>298369.87014155026</v>
      </c>
      <c r="DS72" s="14">
        <f t="shared" si="83"/>
        <v>843816.06312068738</v>
      </c>
      <c r="DT72" s="14">
        <f t="shared" si="80"/>
        <v>25314.481893620621</v>
      </c>
      <c r="DU72" s="14">
        <f t="shared" si="81"/>
        <v>323684.35203517089</v>
      </c>
      <c r="DV72" s="14">
        <f>DQ72*(VLOOKUP(95,$A$24:$K$72,11,FALSE)-1)</f>
        <v>83627.529737402743</v>
      </c>
      <c r="DW72" s="11">
        <f>DW$71*$D$54/$D$47</f>
        <v>2.8710539445188492</v>
      </c>
      <c r="DX72" s="14">
        <f t="shared" si="84"/>
        <v>86131.618335565479</v>
      </c>
      <c r="DY72" s="14">
        <f t="shared" si="87"/>
        <v>373132.0696373636</v>
      </c>
      <c r="DZ72" s="14">
        <f t="shared" si="88"/>
        <v>1148562.099160189</v>
      </c>
      <c r="EA72" s="14">
        <f t="shared" si="85"/>
        <v>34456.86297480567</v>
      </c>
      <c r="EB72" s="14">
        <f t="shared" si="86"/>
        <v>407588.9326121693</v>
      </c>
      <c r="EC72" s="14">
        <f>DX72*(VLOOKUP(94,$A$24:$K$72,11,FALSE)-1)</f>
        <v>240500.84126285327</v>
      </c>
      <c r="ED72" s="11">
        <f>ED$71*$D$53/$D$47</f>
        <v>6.4073342496021706</v>
      </c>
      <c r="EE72" s="14">
        <f t="shared" si="89"/>
        <v>192220.02748806513</v>
      </c>
      <c r="EF72" s="14">
        <f t="shared" si="92"/>
        <v>454347.41488756437</v>
      </c>
      <c r="EG72" s="14">
        <f t="shared" si="93"/>
        <v>1526977.9820674891</v>
      </c>
      <c r="EH72" s="14">
        <f t="shared" si="90"/>
        <v>45809.339462024669</v>
      </c>
      <c r="EI72" s="14">
        <f t="shared" si="91"/>
        <v>500156.75434958906</v>
      </c>
      <c r="EJ72" s="14">
        <f>EE72*(VLOOKUP(93,$A$24:$K$72,11,FALSE)-1)</f>
        <v>583227.58727834688</v>
      </c>
      <c r="EK72" s="11">
        <f>EK$71*$D$52/$D$47</f>
        <v>12.215324324165559</v>
      </c>
      <c r="EL72" s="14">
        <f t="shared" si="94"/>
        <v>366459.72972496675</v>
      </c>
      <c r="EM72" s="14">
        <f t="shared" si="97"/>
        <v>540057.22187898983</v>
      </c>
      <c r="EN72" s="14">
        <f t="shared" si="98"/>
        <v>1984634.4101238505</v>
      </c>
      <c r="EO72" s="14">
        <f t="shared" si="95"/>
        <v>59539.03230371551</v>
      </c>
      <c r="EP72" s="14">
        <f t="shared" si="96"/>
        <v>599596.25418270531</v>
      </c>
      <c r="EQ72" s="14">
        <f>EL72*(VLOOKUP(92,$A$24:$K$72,11,FALSE)-1)</f>
        <v>1209527.8024847566</v>
      </c>
      <c r="ER72" s="11">
        <f>ER$71*$D$51/$D$47</f>
        <v>20.175339819588128</v>
      </c>
      <c r="ES72" s="14">
        <f t="shared" si="99"/>
        <v>605260.19458764384</v>
      </c>
      <c r="ET72" s="14">
        <f t="shared" si="102"/>
        <v>631409.47443880059</v>
      </c>
      <c r="EU72" s="14">
        <f t="shared" si="103"/>
        <v>2526108.1440955056</v>
      </c>
      <c r="EV72" s="14">
        <f t="shared" si="100"/>
        <v>75783.244322865168</v>
      </c>
      <c r="EW72" s="14">
        <f t="shared" si="101"/>
        <v>707192.71876166575</v>
      </c>
      <c r="EX72" s="14">
        <f>ES72*(VLOOKUP(91,$A$24:$K$72,11,FALSE)-1)</f>
        <v>2162736.904593918</v>
      </c>
      <c r="EY72" s="11">
        <f>EY$71*$D$50/$D$47</f>
        <v>29.326655263537649</v>
      </c>
      <c r="EZ72" s="14">
        <f t="shared" si="104"/>
        <v>879799.65790612949</v>
      </c>
      <c r="FA72" s="14">
        <f t="shared" si="107"/>
        <v>728084.53337108355</v>
      </c>
      <c r="FB72" s="14">
        <f t="shared" si="108"/>
        <v>3157808.8686796362</v>
      </c>
      <c r="FC72" s="14">
        <f t="shared" si="105"/>
        <v>94734.266060389084</v>
      </c>
      <c r="FD72" s="14">
        <f t="shared" si="106"/>
        <v>822818.79943147267</v>
      </c>
      <c r="FE72" s="14">
        <f>EZ72*(VLOOKUP(90,$A$24:$K$72,11,FALSE)-1)</f>
        <v>3387969.0008130511</v>
      </c>
      <c r="FF72" s="11">
        <f>FF$71*$D$49/$D$47</f>
        <v>38.235496774971658</v>
      </c>
      <c r="FG72" s="14">
        <f t="shared" si="109"/>
        <v>1147064.9032491497</v>
      </c>
      <c r="FH72" s="14">
        <f t="shared" si="112"/>
        <v>826918.26956248982</v>
      </c>
      <c r="FI72" s="14">
        <f t="shared" si="113"/>
        <v>3885984.1494291821</v>
      </c>
      <c r="FJ72" s="14">
        <f t="shared" si="110"/>
        <v>116579.52448287545</v>
      </c>
      <c r="FK72" s="14">
        <f t="shared" si="111"/>
        <v>943497.7940453653</v>
      </c>
      <c r="FL72" s="14">
        <f>FG72*(VLOOKUP(89,$A$24:$K$72,11,FALSE)-1)</f>
        <v>4756606.3185310168</v>
      </c>
      <c r="FM72" s="11">
        <f>FM$71*$D$48/$D$47</f>
        <v>45.301262355156673</v>
      </c>
      <c r="FN72" s="14">
        <f t="shared" si="114"/>
        <v>1359037.8706547001</v>
      </c>
      <c r="FO72" s="14">
        <f t="shared" si="117"/>
        <v>921932.49347825348</v>
      </c>
      <c r="FP72" s="14">
        <f t="shared" si="118"/>
        <v>4713216.8929109694</v>
      </c>
      <c r="FQ72" s="14">
        <f t="shared" si="115"/>
        <v>141396.50678732907</v>
      </c>
      <c r="FR72" s="14">
        <f t="shared" si="116"/>
        <v>1063329.0002655825</v>
      </c>
      <c r="FS72" s="14">
        <f>FN72*(VLOOKUP(88,$A$24:$K$72,11,FALSE)-1)</f>
        <v>6091453.716806951</v>
      </c>
      <c r="FT72" s="11">
        <f>FT$71*$D$47/$D$47</f>
        <v>49.085289526324622</v>
      </c>
      <c r="FU72" s="14">
        <f t="shared" si="119"/>
        <v>1472558.6857897388</v>
      </c>
      <c r="FV72" s="14">
        <f t="shared" si="122"/>
        <v>1014661.8874087905</v>
      </c>
      <c r="FW72" s="14">
        <f t="shared" si="123"/>
        <v>5635704.1629107818</v>
      </c>
      <c r="FX72" s="14">
        <f t="shared" si="120"/>
        <v>169071.12488732344</v>
      </c>
      <c r="FY72" s="14">
        <f t="shared" si="121"/>
        <v>1183733.0122961139</v>
      </c>
      <c r="FZ72" s="14">
        <f>FU72*(VLOOKUP(87,$A$24:$K$72,11,FALSE)-1)</f>
        <v>7122119.9687206503</v>
      </c>
      <c r="GA72" s="11">
        <f>GA$71*$D$46/$D$47</f>
        <v>49.088809093997249</v>
      </c>
      <c r="GB72" s="14">
        <f t="shared" si="124"/>
        <v>1472664.2728199174</v>
      </c>
      <c r="GC72" s="14">
        <f t="shared" ref="GC72:GC95" si="127">GD71/$G48</f>
        <v>1109605.9505923672</v>
      </c>
      <c r="GD72" s="14">
        <f t="shared" ref="GD72:GD95" si="128">GD71-GC72</f>
        <v>6650842.9022152703</v>
      </c>
      <c r="GE72" s="14">
        <f t="shared" si="125"/>
        <v>199525.28706645811</v>
      </c>
      <c r="GF72" s="14">
        <f t="shared" si="126"/>
        <v>1309131.2376588252</v>
      </c>
      <c r="GG72" s="14">
        <f>GB72*(VLOOKUP(86,$A$24:$K$72,11,FALSE)-1)</f>
        <v>7631453.5961421113</v>
      </c>
      <c r="GH72" s="11">
        <f>($N71-$N72)+(GA71-GA72)+(FT71-FT72)+(FM71-FM72)+(FF71-FF72)+(EY71-EY72)+(ER71-ER72)+(EK71-EK72)+(ED71-ED72)+(DW71-DW72)+(DP71-DP72)+(DI71-DI72)+(DB71-DB72)+(CU71-CU72)+(CN71-CN72)+(CG71-CG72)+(BZ71-BZ72)+(BS71-BS72)+(BL71-BL72)+(BE71-BE72)+(AX71-AX72)+(AQ71-AQ72)+(AJ71-AJ72)+(AC71-AC72)+(V71-V72)</f>
        <v>45.679363239741726</v>
      </c>
      <c r="GI72" s="14">
        <f t="shared" ref="GI72:GI96" si="129">GH72*$B$21</f>
        <v>1370380.8971922519</v>
      </c>
      <c r="GJ72" s="14">
        <f>GI$46/$G47</f>
        <v>1202102.7012283073</v>
      </c>
      <c r="GK72" s="14">
        <f>GI$46-GJ72</f>
        <v>7759993.1501783952</v>
      </c>
      <c r="GL72" s="14">
        <f t="shared" ref="GL72:GL96" si="130">$B$20*GK72</f>
        <v>232799.79450535183</v>
      </c>
      <c r="GM72" s="14">
        <f t="shared" ref="GM72:GM96" si="131">GJ72+GL72</f>
        <v>1434902.4957336592</v>
      </c>
      <c r="GN72" s="14">
        <f>GI72*(VLOOKUP(85,$A$24:$K$72,11,FALSE)-1)</f>
        <v>7591714.9542144574</v>
      </c>
      <c r="HR72" s="15"/>
      <c r="HS72" s="15"/>
      <c r="HT72" s="15"/>
      <c r="HU72" s="14"/>
      <c r="HV72" s="14"/>
      <c r="NC72" s="15">
        <v>26</v>
      </c>
      <c r="ND72" s="15">
        <f>N72+V72+AC72+AJ72+AQ72+AX72+BE72+BL72+BS72+BZ72+CG72+CN72+CU72+DB72+DI72+DP72+DW72+ED72+EK72+ER72+EY72+FF72+FM72+FT72+GA72+GH72</f>
        <v>300</v>
      </c>
      <c r="NE72" s="14">
        <f>P72+W72+AD72+AK72+AR72+AY72+BF72+BM72+BT72+CA72+CH72+CO72+CV72+DC72+DJ72+DQ72+DX72+EE72+EL72+ES72+EZ72+FG72+FN72+FU72+GB72+GI72</f>
        <v>9000000</v>
      </c>
      <c r="NF72" s="14">
        <f>T72+AA72+AH72+AO72+AV72+BC72+BJ72+BQ72+BX72+CE72+CL72+CS72+CZ72+DG72+DN72+DU72+EB72+EI72+EP72+EW72+FD72+FK72+FR72+FY72+GF72+GM72</f>
        <v>10149089.579261567</v>
      </c>
      <c r="NH72" s="14">
        <f>U72+AB72+AI72+AP72+AW72+BD72+BK72+BR72+BY72+CF72+CM72+CT72+DA72+DH72+DO72+DV72+EC72+EJ72+EQ72+EX72+FE72+FL72+FS72+FZ72+GG72+GN72</f>
        <v>40891640.49719432</v>
      </c>
      <c r="NI72" s="14">
        <f>R72+Y72+AF72+AM72+AT72+BA72+BH72+BO72+BV72+CC72+CJ72+CQ72+CX72+DE72+DL72+DS72+DZ72+EG72+EN72+EU72+FB72+FI72+FP72+FW72+GD72+GK72</f>
        <v>41632921.213740274</v>
      </c>
    </row>
    <row r="73" spans="1:373" x14ac:dyDescent="0.25">
      <c r="A73" s="1"/>
      <c r="B73" s="3"/>
      <c r="V73" s="11">
        <f>V$72*$D$70/$D$47</f>
        <v>1.155176691187742E-23</v>
      </c>
      <c r="W73" s="14"/>
      <c r="X73" s="14"/>
      <c r="Y73" s="14"/>
      <c r="Z73" s="14"/>
      <c r="AA73" s="14"/>
      <c r="AC73" s="11">
        <f>AC$72*$D$69/$D$47</f>
        <v>8.9013395651848089E-21</v>
      </c>
      <c r="AD73" s="14">
        <f t="shared" si="14"/>
        <v>2.6704018695554429E-16</v>
      </c>
      <c r="AE73" s="14">
        <f t="shared" si="17"/>
        <v>363.92489499187565</v>
      </c>
      <c r="AF73" s="14">
        <f t="shared" si="18"/>
        <v>181.96244749593785</v>
      </c>
      <c r="AG73" s="14">
        <f t="shared" si="15"/>
        <v>5.458873424878135</v>
      </c>
      <c r="AH73" s="14">
        <f t="shared" si="16"/>
        <v>369.38376841675381</v>
      </c>
      <c r="AI73" s="14">
        <f>AD73*(VLOOKUP(109,$A$24:$K$72,11,FALSE)-1)</f>
        <v>1.2963115871628363E-16</v>
      </c>
      <c r="AJ73" s="11">
        <f>AJ$72*$D$68/$D$47</f>
        <v>3.8035001098909771E-18</v>
      </c>
      <c r="AK73" s="14">
        <f t="shared" si="19"/>
        <v>1.1410500329672931E-13</v>
      </c>
      <c r="AL73" s="14">
        <f t="shared" si="22"/>
        <v>697.20973182759144</v>
      </c>
      <c r="AM73" s="14">
        <f t="shared" si="23"/>
        <v>534.20209652630047</v>
      </c>
      <c r="AN73" s="14">
        <f t="shared" si="20"/>
        <v>16.026062895789014</v>
      </c>
      <c r="AO73" s="14">
        <f t="shared" si="21"/>
        <v>713.23579472338042</v>
      </c>
      <c r="AP73" s="14">
        <f>AK73*(VLOOKUP(108,$A$24:$K$72,11,FALSE)-1)</f>
        <v>8.4056742950771113E-14</v>
      </c>
      <c r="AQ73" s="11">
        <f>AQ$72*$D$67/$D$47</f>
        <v>1.0480048370460989E-15</v>
      </c>
      <c r="AR73" s="14">
        <f t="shared" si="24"/>
        <v>3.1440145111382968E-11</v>
      </c>
      <c r="AS73" s="14">
        <f t="shared" si="27"/>
        <v>1447.0755718694152</v>
      </c>
      <c r="AT73" s="14">
        <f t="shared" si="28"/>
        <v>1376.3116952067578</v>
      </c>
      <c r="AU73" s="14">
        <f t="shared" si="25"/>
        <v>41.289350856202731</v>
      </c>
      <c r="AV73" s="14">
        <f t="shared" si="26"/>
        <v>1488.3649227256178</v>
      </c>
      <c r="AW73" s="14">
        <f>AR73*(VLOOKUP(107,$A$24:$K$72,11,FALSE)-1)</f>
        <v>2.8546190364235598E-11</v>
      </c>
      <c r="AX73" s="11">
        <f>AX$72*$D$66/$D$47</f>
        <v>1.7919343749394239E-13</v>
      </c>
      <c r="AY73" s="14">
        <f t="shared" si="29"/>
        <v>5.3758031248182719E-9</v>
      </c>
      <c r="AZ73" s="14">
        <f t="shared" si="32"/>
        <v>3017.032852451036</v>
      </c>
      <c r="BA73" s="14">
        <f t="shared" si="33"/>
        <v>3323.5342035445874</v>
      </c>
      <c r="BB73" s="14">
        <f t="shared" si="30"/>
        <v>99.706026106337617</v>
      </c>
      <c r="BC73" s="14">
        <f t="shared" si="31"/>
        <v>3116.7388785573735</v>
      </c>
      <c r="BD73" s="14">
        <f>AY73*(VLOOKUP(106,$A$24:$K$72,11,FALSE)-1)</f>
        <v>5.6223100882390222E-9</v>
      </c>
      <c r="BE73" s="11">
        <f>BE$72*$D$65/$D$47</f>
        <v>1.7873642351624117E-11</v>
      </c>
      <c r="BF73" s="14">
        <f t="shared" si="34"/>
        <v>5.3620927054872351E-7</v>
      </c>
      <c r="BG73" s="14">
        <f t="shared" si="37"/>
        <v>5740.8084743788822</v>
      </c>
      <c r="BH73" s="14">
        <f t="shared" si="38"/>
        <v>7108.5963943974621</v>
      </c>
      <c r="BI73" s="14">
        <f t="shared" si="35"/>
        <v>213.25789183192384</v>
      </c>
      <c r="BJ73" s="14">
        <f t="shared" si="36"/>
        <v>5954.0663662108063</v>
      </c>
      <c r="BK73" s="14">
        <f>BF73*(VLOOKUP(105,$A$24:$K$72,11,FALSE)-1)</f>
        <v>6.2753024493466363E-7</v>
      </c>
      <c r="BL73" s="11">
        <f>BL$72*$D$64/$D$47</f>
        <v>1.101061243716882E-9</v>
      </c>
      <c r="BM73" s="14">
        <f t="shared" si="39"/>
        <v>3.3031837311506462E-5</v>
      </c>
      <c r="BN73" s="14">
        <f t="shared" si="42"/>
        <v>10229.796574893491</v>
      </c>
      <c r="BO73" s="14">
        <f t="shared" si="43"/>
        <v>14024.359823688064</v>
      </c>
      <c r="BP73" s="14">
        <f t="shared" si="40"/>
        <v>420.73079471064193</v>
      </c>
      <c r="BQ73" s="14">
        <f t="shared" si="41"/>
        <v>10650.527369604133</v>
      </c>
      <c r="BR73" s="14">
        <f>BM73*(VLOOKUP(104,$A$24:$K$72,11,FALSE)-1)</f>
        <v>4.2630758740153819E-5</v>
      </c>
      <c r="BS73" s="11">
        <f>BS$72*$D$63/$D$47</f>
        <v>4.3910834349678284E-8</v>
      </c>
      <c r="BT73" s="14">
        <f t="shared" si="44"/>
        <v>1.3173250304903486E-3</v>
      </c>
      <c r="BU73" s="14">
        <f t="shared" si="47"/>
        <v>17392.341603621746</v>
      </c>
      <c r="BV73" s="14">
        <f t="shared" si="48"/>
        <v>26160.160683600225</v>
      </c>
      <c r="BW73" s="14">
        <f t="shared" si="45"/>
        <v>784.80482050800674</v>
      </c>
      <c r="BX73" s="14">
        <f t="shared" si="46"/>
        <v>18177.146424129751</v>
      </c>
      <c r="BY73" s="14">
        <f>BT73*(VLOOKUP(103,$A$24:$K$72,11,FALSE)-1)</f>
        <v>1.8585206927896405E-3</v>
      </c>
      <c r="BZ73" s="11">
        <f>BZ$72*$D$62/$D$47</f>
        <v>1.1730335253949314E-6</v>
      </c>
      <c r="CA73" s="14">
        <f t="shared" si="49"/>
        <v>3.5191005761847943E-2</v>
      </c>
      <c r="CB73" s="14">
        <f t="shared" si="52"/>
        <v>28433.92910555056</v>
      </c>
      <c r="CC73" s="14">
        <f t="shared" si="53"/>
        <v>46644.40215928464</v>
      </c>
      <c r="CD73" s="14">
        <f t="shared" si="50"/>
        <v>1399.3320647785392</v>
      </c>
      <c r="CE73" s="14">
        <f t="shared" si="51"/>
        <v>29833.2611703291</v>
      </c>
      <c r="CF73" s="14">
        <f>CA73*(VLOOKUP(102,$A$24:$K$72,11,FALSE)-1)</f>
        <v>5.3959573338799874E-2</v>
      </c>
      <c r="CG73" s="11">
        <f>CG$72*$D$61/$D$47</f>
        <v>2.1202515855183271E-5</v>
      </c>
      <c r="CH73" s="14">
        <f t="shared" si="54"/>
        <v>0.63607547565549816</v>
      </c>
      <c r="CI73" s="14">
        <f t="shared" si="57"/>
        <v>44073.948573914298</v>
      </c>
      <c r="CJ73" s="14">
        <f t="shared" si="58"/>
        <v>78506.575273389986</v>
      </c>
      <c r="CK73" s="14">
        <f t="shared" si="55"/>
        <v>2355.1972582016997</v>
      </c>
      <c r="CL73" s="14">
        <f t="shared" si="56"/>
        <v>46429.145832115995</v>
      </c>
      <c r="CM73" s="14">
        <f>CH73*(VLOOKUP(101,$A$24:$K$72,11,FALSE)-1)</f>
        <v>1.0553833854015318</v>
      </c>
      <c r="CN73" s="11">
        <f>CN$72*$D$60/$D$47</f>
        <v>2.6768181734604515E-4</v>
      </c>
      <c r="CO73" s="14">
        <f t="shared" si="59"/>
        <v>8.0304545203813547</v>
      </c>
      <c r="CP73" s="14">
        <f t="shared" si="62"/>
        <v>65387.043000910344</v>
      </c>
      <c r="CQ73" s="14">
        <f t="shared" si="63"/>
        <v>126027.24563042269</v>
      </c>
      <c r="CR73" s="14">
        <f t="shared" si="60"/>
        <v>3780.8173689126806</v>
      </c>
      <c r="CS73" s="14">
        <f t="shared" si="61"/>
        <v>69167.860369823029</v>
      </c>
      <c r="CT73" s="14">
        <f>CO73*(VLOOKUP(100,$A$24:$K$72,11,FALSE)-1)</f>
        <v>14.367755369337013</v>
      </c>
      <c r="CU73" s="11">
        <f>CU$72*$D$59/$D$47</f>
        <v>2.4349012669026416E-3</v>
      </c>
      <c r="CV73" s="14">
        <f t="shared" si="64"/>
        <v>73.047038007079252</v>
      </c>
      <c r="CW73" s="14">
        <f t="shared" si="67"/>
        <v>93809.712728880535</v>
      </c>
      <c r="CX73" s="14">
        <f t="shared" si="68"/>
        <v>195089.28400351171</v>
      </c>
      <c r="CY73" s="14">
        <f t="shared" si="65"/>
        <v>5852.6785201053508</v>
      </c>
      <c r="CZ73" s="14">
        <f t="shared" si="66"/>
        <v>99662.391248985892</v>
      </c>
      <c r="DA73" s="14">
        <f>CV73*(VLOOKUP(99,$A$24:$K$72,11,FALSE)-1)</f>
        <v>140.52109379001982</v>
      </c>
      <c r="DB73" s="11">
        <f>DB$72*$D$58/$D$47</f>
        <v>1.6414559830922409E-2</v>
      </c>
      <c r="DC73" s="14">
        <f t="shared" si="69"/>
        <v>492.43679492767228</v>
      </c>
      <c r="DD73" s="14">
        <f t="shared" si="72"/>
        <v>130881.8353168762</v>
      </c>
      <c r="DE73" s="14">
        <f t="shared" si="73"/>
        <v>292949.33913063921</v>
      </c>
      <c r="DF73" s="14">
        <f t="shared" si="70"/>
        <v>8788.4801739191753</v>
      </c>
      <c r="DG73" s="14">
        <f t="shared" si="71"/>
        <v>139670.31549079536</v>
      </c>
      <c r="DH73" s="14">
        <f>DC73*(VLOOKUP(98,$A$24:$K$72,11,FALSE)-1)</f>
        <v>1015.9258902899425</v>
      </c>
      <c r="DI73" s="11">
        <f>DI$72*$D$57/$D$47</f>
        <v>8.4238316001675875E-2</v>
      </c>
      <c r="DJ73" s="14">
        <f t="shared" si="74"/>
        <v>2527.1494800502765</v>
      </c>
      <c r="DK73" s="14">
        <f t="shared" si="77"/>
        <v>177504.85690855526</v>
      </c>
      <c r="DL73" s="14">
        <f t="shared" si="78"/>
        <v>428175.42385101749</v>
      </c>
      <c r="DM73" s="14">
        <f t="shared" si="75"/>
        <v>12845.262715530524</v>
      </c>
      <c r="DN73" s="14">
        <f t="shared" si="76"/>
        <v>190350.11962408578</v>
      </c>
      <c r="DO73" s="14">
        <f>DJ73*(VLOOKUP(97,$A$24:$K$72,11,FALSE)-1)</f>
        <v>5598.1813701491583</v>
      </c>
      <c r="DP73" s="11">
        <f>DP$72*$D$56/$D$47</f>
        <v>0.33782230610104763</v>
      </c>
      <c r="DQ73" s="14">
        <f t="shared" si="79"/>
        <v>10134.669183031428</v>
      </c>
      <c r="DR73" s="14">
        <f t="shared" si="82"/>
        <v>233921.97819097544</v>
      </c>
      <c r="DS73" s="14">
        <f t="shared" si="83"/>
        <v>609894.08492971188</v>
      </c>
      <c r="DT73" s="14">
        <f t="shared" si="80"/>
        <v>18296.822547891355</v>
      </c>
      <c r="DU73" s="14">
        <f t="shared" si="81"/>
        <v>252218.80073886679</v>
      </c>
      <c r="DV73" s="14">
        <f>DQ73*(VLOOKUP(96,$A$24:$K$72,11,FALSE)-1)</f>
        <v>24173.118146385634</v>
      </c>
      <c r="DW73" s="11">
        <f>DW$72*$D$55/$D$47</f>
        <v>1.0878868251698803</v>
      </c>
      <c r="DX73" s="14">
        <f t="shared" si="84"/>
        <v>32636.60475509641</v>
      </c>
      <c r="DY73" s="14">
        <f t="shared" si="87"/>
        <v>300035.49719540402</v>
      </c>
      <c r="DZ73" s="14">
        <f t="shared" si="88"/>
        <v>848526.60196478502</v>
      </c>
      <c r="EA73" s="14">
        <f t="shared" si="85"/>
        <v>25455.79805894355</v>
      </c>
      <c r="EB73" s="14">
        <f t="shared" si="86"/>
        <v>325491.29525434755</v>
      </c>
      <c r="EC73" s="14">
        <f>DX73*(VLOOKUP(95,$A$24:$K$72,11,FALSE)-1)</f>
        <v>84094.374046821409</v>
      </c>
      <c r="ED73" s="11">
        <f>ED$72*$D$54/$D$47</f>
        <v>2.8810231704262734</v>
      </c>
      <c r="EE73" s="14">
        <f t="shared" si="89"/>
        <v>86430.695112788206</v>
      </c>
      <c r="EF73" s="14">
        <f t="shared" si="92"/>
        <v>374427.70460884192</v>
      </c>
      <c r="EG73" s="14">
        <f t="shared" si="93"/>
        <v>1152550.2774586473</v>
      </c>
      <c r="EH73" s="14">
        <f t="shared" si="90"/>
        <v>34576.508323759415</v>
      </c>
      <c r="EI73" s="14">
        <f t="shared" si="91"/>
        <v>409004.21293260134</v>
      </c>
      <c r="EJ73" s="14">
        <f>EE73*(VLOOKUP(94,$A$24:$K$72,11,FALSE)-1)</f>
        <v>241335.93780363831</v>
      </c>
      <c r="EK73" s="11">
        <f>EK$72*$D$53/$D$47</f>
        <v>6.4180351437820935</v>
      </c>
      <c r="EL73" s="14">
        <f t="shared" si="94"/>
        <v>192541.05431346281</v>
      </c>
      <c r="EM73" s="14">
        <f t="shared" si="97"/>
        <v>455106.2208774247</v>
      </c>
      <c r="EN73" s="14">
        <f t="shared" si="98"/>
        <v>1529528.1892464259</v>
      </c>
      <c r="EO73" s="14">
        <f t="shared" si="95"/>
        <v>45885.845677392776</v>
      </c>
      <c r="EP73" s="14">
        <f t="shared" si="96"/>
        <v>500992.06655481749</v>
      </c>
      <c r="EQ73" s="14">
        <f>EL73*(VLOOKUP(93,$A$24:$K$72,11,FALSE)-1)</f>
        <v>584201.63614971098</v>
      </c>
      <c r="ER73" s="11">
        <f>ER$72*$D$52/$D$47</f>
        <v>12.222177895667794</v>
      </c>
      <c r="ES73" s="14">
        <f t="shared" si="99"/>
        <v>366665.33687003382</v>
      </c>
      <c r="ET73" s="14">
        <f t="shared" si="102"/>
        <v>540360.22822472558</v>
      </c>
      <c r="EU73" s="14">
        <f t="shared" si="103"/>
        <v>1985747.9158707801</v>
      </c>
      <c r="EV73" s="14">
        <f t="shared" si="100"/>
        <v>59572.437476123399</v>
      </c>
      <c r="EW73" s="14">
        <f t="shared" si="101"/>
        <v>599932.66570084903</v>
      </c>
      <c r="EX73" s="14">
        <f>ES73*(VLOOKUP(92,$A$24:$K$72,11,FALSE)-1)</f>
        <v>1210206.4242763917</v>
      </c>
      <c r="EY73" s="11">
        <f>EY$72*$D$51/$D$47</f>
        <v>20.177200797534834</v>
      </c>
      <c r="EZ73" s="14">
        <f t="shared" si="104"/>
        <v>605316.02392604505</v>
      </c>
      <c r="FA73" s="14">
        <f t="shared" si="107"/>
        <v>631467.7157927407</v>
      </c>
      <c r="FB73" s="14">
        <f t="shared" si="108"/>
        <v>2526341.1528868955</v>
      </c>
      <c r="FC73" s="14">
        <f t="shared" si="105"/>
        <v>75790.234586606864</v>
      </c>
      <c r="FD73" s="14">
        <f t="shared" si="106"/>
        <v>707257.95037934755</v>
      </c>
      <c r="FE73" s="14">
        <f>EZ73*(VLOOKUP(91,$A$24:$K$72,11,FALSE)-1)</f>
        <v>2162936.3959392915</v>
      </c>
      <c r="FF73" s="11">
        <f>FF$72*$D$50/$D$47</f>
        <v>29.327340129747</v>
      </c>
      <c r="FG73" s="14">
        <f t="shared" si="109"/>
        <v>879820.20389241003</v>
      </c>
      <c r="FH73" s="14">
        <f t="shared" si="112"/>
        <v>728101.53634977248</v>
      </c>
      <c r="FI73" s="14">
        <f t="shared" si="113"/>
        <v>3157882.6130794096</v>
      </c>
      <c r="FJ73" s="14">
        <f t="shared" si="110"/>
        <v>94736.478392382283</v>
      </c>
      <c r="FK73" s="14">
        <f t="shared" si="111"/>
        <v>822838.01474215474</v>
      </c>
      <c r="FL73" s="14">
        <f>FG73*(VLOOKUP(90,$A$24:$K$72,11,FALSE)-1)</f>
        <v>3388048.1201488953</v>
      </c>
      <c r="FM73" s="11">
        <f>FM$72*$D$49/$D$47</f>
        <v>38.238048083158887</v>
      </c>
      <c r="FN73" s="14">
        <f t="shared" si="114"/>
        <v>1147141.4424947666</v>
      </c>
      <c r="FO73" s="14">
        <f t="shared" si="117"/>
        <v>826973.4466499933</v>
      </c>
      <c r="FP73" s="14">
        <f t="shared" si="118"/>
        <v>3886243.4462609761</v>
      </c>
      <c r="FQ73" s="14">
        <f t="shared" si="115"/>
        <v>116587.30338782928</v>
      </c>
      <c r="FR73" s="14">
        <f t="shared" si="116"/>
        <v>943560.75003782264</v>
      </c>
      <c r="FS73" s="14">
        <f>FN73*(VLOOKUP(89,$A$24:$K$72,11,FALSE)-1)</f>
        <v>4756923.708644066</v>
      </c>
      <c r="FT73" s="11">
        <f>FT$72*$D$48/$D$47</f>
        <v>45.305722232797621</v>
      </c>
      <c r="FU73" s="14">
        <f t="shared" si="119"/>
        <v>1359171.6669839285</v>
      </c>
      <c r="FV73" s="14">
        <f t="shared" si="122"/>
        <v>922023.25708836806</v>
      </c>
      <c r="FW73" s="14">
        <f t="shared" si="123"/>
        <v>4713680.905822414</v>
      </c>
      <c r="FX73" s="14">
        <f t="shared" si="120"/>
        <v>141410.42717467243</v>
      </c>
      <c r="FY73" s="14">
        <f t="shared" si="121"/>
        <v>1063433.6842630405</v>
      </c>
      <c r="FZ73" s="14">
        <f>FU73*(VLOOKUP(88,$A$24:$K$72,11,FALSE)-1)</f>
        <v>6092053.4161711643</v>
      </c>
      <c r="GA73" s="11">
        <f>GA$72*$D$47/$D$47</f>
        <v>49.088809093997249</v>
      </c>
      <c r="GB73" s="14">
        <f t="shared" si="124"/>
        <v>1472664.2728199174</v>
      </c>
      <c r="GC73" s="14">
        <f t="shared" si="127"/>
        <v>1014734.6418167198</v>
      </c>
      <c r="GD73" s="14">
        <f t="shared" si="128"/>
        <v>5636108.2603985509</v>
      </c>
      <c r="GE73" s="14">
        <f t="shared" si="125"/>
        <v>169083.24781195653</v>
      </c>
      <c r="GF73" s="14">
        <f t="shared" si="126"/>
        <v>1183817.8896286762</v>
      </c>
      <c r="GG73" s="14">
        <f>GB73*(VLOOKUP(87,$A$24:$K$72,11,FALSE)-1)</f>
        <v>7122630.6468371358</v>
      </c>
      <c r="GH73" s="11">
        <f>GH$72*$D$46/$D$47</f>
        <v>49.085926541738367</v>
      </c>
      <c r="GI73" s="14">
        <f t="shared" si="129"/>
        <v>1472577.796252151</v>
      </c>
      <c r="GJ73" s="14">
        <f t="shared" ref="GJ73:GJ96" si="132">GK72/$G48</f>
        <v>1109540.7932337273</v>
      </c>
      <c r="GK73" s="14">
        <f t="shared" ref="GK73:GK96" si="133">GK72-GJ73</f>
        <v>6650452.3569446681</v>
      </c>
      <c r="GL73" s="14">
        <f t="shared" si="130"/>
        <v>199513.57070834003</v>
      </c>
      <c r="GM73" s="14">
        <f t="shared" si="131"/>
        <v>1309054.3639420674</v>
      </c>
      <c r="GN73" s="14">
        <f>GI73*(VLOOKUP(86,$A$24:$K$72,11,FALSE)-1)</f>
        <v>7631005.4682651451</v>
      </c>
      <c r="GO73" s="11">
        <f>($N72-$N73)+(GH72-GH73)+(GA72-GA73)+(FT72-FT73)+(FM72-FM73)+(FF72-FF73)+(EY72-EY73)+(ER72-ER73)+(EK72-EK73)+(ED72-ED73)+(DW72-DW73)+(DP72-DP73)+(DI72-DI73)+(DB72-DB73)+(CU72-CU73)+(CN72-CN73)+(CG72-CG73)+(BZ72-BZ73)+(BS72-BS73)+(BL72-BL73)+(BE72-BE73)+(AX72-AX73)+(AQ72-AQ73)+(AJ72-AJ73)+(AC72-AC73)+(V72-V73)</f>
        <v>45.726629900382754</v>
      </c>
      <c r="GP73" s="14">
        <f t="shared" ref="GP73:GP96" si="134">GO73*$B$21</f>
        <v>1371798.8970114826</v>
      </c>
      <c r="GQ73" s="14">
        <f>GP$46/$G47</f>
        <v>1203346.5754070363</v>
      </c>
      <c r="GR73" s="14">
        <f>GP$46-GQ73</f>
        <v>7768022.7928177128</v>
      </c>
      <c r="GS73" s="14">
        <f t="shared" ref="GS73:GS96" si="135">$B$20*GR73</f>
        <v>233040.68378453137</v>
      </c>
      <c r="GT73" s="14">
        <f t="shared" ref="GT73:GT96" si="136">GQ73+GS73</f>
        <v>1436387.2591915678</v>
      </c>
      <c r="GU73" s="14">
        <f>GP73*(VLOOKUP(85,$A$24:$K$72,11,FALSE)-1)</f>
        <v>7599570.4712132597</v>
      </c>
      <c r="HR73" s="15"/>
      <c r="HS73" s="15"/>
      <c r="HT73" s="15"/>
      <c r="HU73" s="14"/>
      <c r="HV73" s="14"/>
      <c r="NC73" s="15">
        <v>27</v>
      </c>
      <c r="ND73" s="15">
        <f>N73+V73+AC73+AJ73+AQ73+AX73+BE73+BL73+BS73+BZ73+CG73+CN73+CU73+DB73+DI73+DP73+DW73+ED73+EK73+ER73+EY73+FF73+FM73+FT73+GA73+GH73+GO73</f>
        <v>299.99999999999994</v>
      </c>
      <c r="NE73" s="14">
        <f>P73+W73+AD73+AK73+AR73+AY73+BF73+BM73+BT73+CA73+CH73+CO73+CV73+DC73+DJ73+DQ73+DX73+EE73+EL73+ES73+EZ73+FG73+FN73+FU73+GB73+GI73+GP73</f>
        <v>9000000</v>
      </c>
      <c r="NF73" s="14">
        <f>T73+AA73+AH73+AO73+AV73+BC73+BJ73+BQ73+BX73+CE73+CL73+CS73+CZ73+DG73+DN73+DU73+EB73+EI73+EP73+EW73+FD73+FK73+FR73+FY73+GF73+GM73+GT73</f>
        <v>10169571.510626663</v>
      </c>
      <c r="NH73" s="14">
        <f>U73+AB73+AI73+AP73+AW73+BD73+BK73+BR73+BY73+CF73+CM73+CT73+DA73+DH73+DO73+DV73+EC73+EJ73+EQ73+EX73+FE73+FL73+FS73+FZ73+GG73+GN73+GU73</f>
        <v>40903949.824996248</v>
      </c>
      <c r="NI73" s="14">
        <f>R73+Y73+AF73+AM73+AT73+BA73+BH73+BO73+BV73+CC73+CJ73+CQ73+CX73+DE73+DL73+DS73+DZ73+EG73+EN73+EU73+FB73+FI73+FP73+FW73+GD73+GK73+GR73</f>
        <v>41685079.995073706</v>
      </c>
    </row>
    <row r="74" spans="1:373" x14ac:dyDescent="0.25">
      <c r="A74" s="1"/>
      <c r="B74" s="3"/>
      <c r="P74" s="8"/>
      <c r="V74" s="11"/>
      <c r="W74" s="14"/>
      <c r="X74" s="14"/>
      <c r="Y74" s="14"/>
      <c r="Z74" s="14"/>
      <c r="AA74" s="14"/>
      <c r="AC74" s="11"/>
      <c r="AD74" s="14"/>
      <c r="AE74" s="14"/>
      <c r="AF74" s="14"/>
      <c r="AG74" s="14"/>
      <c r="AH74" s="14"/>
      <c r="AJ74" s="11">
        <f>AJ$73*$D$69/$D$47</f>
        <v>8.7107977919828573E-21</v>
      </c>
      <c r="AK74" s="14">
        <f t="shared" si="19"/>
        <v>2.6132393375948571E-16</v>
      </c>
      <c r="AL74" s="14">
        <f t="shared" si="22"/>
        <v>356.13473101753362</v>
      </c>
      <c r="AM74" s="14">
        <f t="shared" si="23"/>
        <v>178.06736550876684</v>
      </c>
      <c r="AN74" s="14">
        <f t="shared" si="20"/>
        <v>5.3420209652630053</v>
      </c>
      <c r="AO74" s="14">
        <f t="shared" si="21"/>
        <v>361.47675198279666</v>
      </c>
      <c r="AP74" s="14">
        <f>AK74*(VLOOKUP(109,$A$24:$K$72,11,FALSE)-1)</f>
        <v>1.268562785240222E-16</v>
      </c>
      <c r="AQ74" s="11">
        <f>AQ$73*$D$68/$D$47</f>
        <v>4.2510568466447558E-18</v>
      </c>
      <c r="AR74" s="14">
        <f t="shared" si="24"/>
        <v>1.2753170539934267E-13</v>
      </c>
      <c r="AS74" s="14">
        <f t="shared" si="27"/>
        <v>779.25019545168038</v>
      </c>
      <c r="AT74" s="14">
        <f t="shared" si="28"/>
        <v>597.06149975507742</v>
      </c>
      <c r="AU74" s="14">
        <f t="shared" si="25"/>
        <v>17.911844992652323</v>
      </c>
      <c r="AV74" s="14">
        <f t="shared" si="26"/>
        <v>797.16204044433266</v>
      </c>
      <c r="AW74" s="14">
        <f>AR74*(VLOOKUP(108,$A$24:$K$72,11,FALSE)-1)</f>
        <v>9.3947675115954262E-14</v>
      </c>
      <c r="AX74" s="11">
        <f>AX$73*$D$67/$D$47</f>
        <v>1.2336529111749741E-15</v>
      </c>
      <c r="AY74" s="14">
        <f t="shared" si="29"/>
        <v>3.7009587335249223E-11</v>
      </c>
      <c r="AZ74" s="14">
        <f t="shared" si="32"/>
        <v>1703.4167484938548</v>
      </c>
      <c r="BA74" s="14">
        <f t="shared" si="33"/>
        <v>1620.1174550507326</v>
      </c>
      <c r="BB74" s="14">
        <f t="shared" si="30"/>
        <v>48.603523651521975</v>
      </c>
      <c r="BC74" s="14">
        <f t="shared" si="31"/>
        <v>1752.0202721453768</v>
      </c>
      <c r="BD74" s="14">
        <f>AY74*(VLOOKUP(107,$A$24:$K$72,11,FALSE)-1)</f>
        <v>3.3602985025387986E-11</v>
      </c>
      <c r="BE74" s="11">
        <f>BE$73*$D$66/$D$47</f>
        <v>2.0089903827522993E-13</v>
      </c>
      <c r="BF74" s="14">
        <f t="shared" si="34"/>
        <v>6.0269711482568979E-9</v>
      </c>
      <c r="BG74" s="14">
        <f t="shared" si="37"/>
        <v>3382.4843531040369</v>
      </c>
      <c r="BH74" s="14">
        <f t="shared" si="38"/>
        <v>3726.1120412934251</v>
      </c>
      <c r="BI74" s="14">
        <f t="shared" si="35"/>
        <v>111.78336123880275</v>
      </c>
      <c r="BJ74" s="14">
        <f t="shared" si="36"/>
        <v>3494.2677143428396</v>
      </c>
      <c r="BK74" s="14">
        <f>BF74*(VLOOKUP(106,$A$24:$K$72,11,FALSE)-1)</f>
        <v>6.3033373621761444E-9</v>
      </c>
      <c r="BL74" s="11">
        <f>BL$73*$D$65/$D$47</f>
        <v>1.9508015683138593E-11</v>
      </c>
      <c r="BM74" s="14">
        <f t="shared" si="39"/>
        <v>5.8524047049415783E-7</v>
      </c>
      <c r="BN74" s="14">
        <f t="shared" si="42"/>
        <v>6265.7504021222649</v>
      </c>
      <c r="BO74" s="14">
        <f t="shared" si="43"/>
        <v>7758.6094215657995</v>
      </c>
      <c r="BP74" s="14">
        <f t="shared" si="40"/>
        <v>232.75828264697398</v>
      </c>
      <c r="BQ74" s="14">
        <f t="shared" si="41"/>
        <v>6498.5086847692392</v>
      </c>
      <c r="BR74" s="14">
        <f>BM74*(VLOOKUP(105,$A$24:$K$72,11,FALSE)-1)</f>
        <v>6.849118729690171E-7</v>
      </c>
      <c r="BS74" s="11">
        <f>BS$73*$D$64/$D$47</f>
        <v>1.1875877513432242E-9</v>
      </c>
      <c r="BT74" s="14">
        <f t="shared" si="44"/>
        <v>3.5627632540296728E-5</v>
      </c>
      <c r="BU74" s="14">
        <f t="shared" si="47"/>
        <v>11033.701513337634</v>
      </c>
      <c r="BV74" s="14">
        <f t="shared" si="48"/>
        <v>15126.459170262591</v>
      </c>
      <c r="BW74" s="14">
        <f t="shared" si="45"/>
        <v>453.79377510787771</v>
      </c>
      <c r="BX74" s="14">
        <f t="shared" si="46"/>
        <v>11487.495288445511</v>
      </c>
      <c r="BY74" s="14">
        <f>BT74*(VLOOKUP(104,$A$24:$K$72,11,FALSE)-1)</f>
        <v>4.5980881807599783E-5</v>
      </c>
      <c r="BZ74" s="11">
        <f>BZ$73*$D$63/$D$47</f>
        <v>4.7028173101251468E-8</v>
      </c>
      <c r="CA74" s="14">
        <f t="shared" si="49"/>
        <v>1.410845193037544E-3</v>
      </c>
      <c r="CB74" s="14">
        <f t="shared" si="52"/>
        <v>18627.066957046172</v>
      </c>
      <c r="CC74" s="14">
        <f t="shared" si="53"/>
        <v>28017.335202238468</v>
      </c>
      <c r="CD74" s="14">
        <f t="shared" si="50"/>
        <v>840.52005606715397</v>
      </c>
      <c r="CE74" s="14">
        <f t="shared" si="51"/>
        <v>19467.587013113327</v>
      </c>
      <c r="CF74" s="14">
        <f>CA74*(VLOOKUP(103,$A$24:$K$72,11,FALSE)-1)</f>
        <v>1.990461674145105E-3</v>
      </c>
      <c r="CG74" s="11">
        <f>CG$73*$D$62/$D$47</f>
        <v>1.2265968516905539E-6</v>
      </c>
      <c r="CH74" s="14">
        <f t="shared" si="54"/>
        <v>3.6797905550716617E-2</v>
      </c>
      <c r="CI74" s="14">
        <f t="shared" si="57"/>
        <v>29732.285707962576</v>
      </c>
      <c r="CJ74" s="14">
        <f t="shared" si="58"/>
        <v>48774.289565427411</v>
      </c>
      <c r="CK74" s="14">
        <f t="shared" si="55"/>
        <v>1463.2286869628222</v>
      </c>
      <c r="CL74" s="14">
        <f t="shared" si="56"/>
        <v>31195.514394925398</v>
      </c>
      <c r="CM74" s="14">
        <f>CH74*(VLOOKUP(102,$A$24:$K$72,11,FALSE)-1)</f>
        <v>5.6423487771719114E-2</v>
      </c>
      <c r="CN74" s="11">
        <f>CN$73*$D$61/$D$47</f>
        <v>2.1798688648065168E-5</v>
      </c>
      <c r="CO74" s="14">
        <f t="shared" si="59"/>
        <v>0.65396065944195503</v>
      </c>
      <c r="CP74" s="14">
        <f t="shared" si="62"/>
        <v>45313.220799630864</v>
      </c>
      <c r="CQ74" s="14">
        <f t="shared" si="63"/>
        <v>80714.024830791837</v>
      </c>
      <c r="CR74" s="14">
        <f t="shared" si="60"/>
        <v>2421.4207449237551</v>
      </c>
      <c r="CS74" s="14">
        <f t="shared" si="61"/>
        <v>47734.641544554623</v>
      </c>
      <c r="CT74" s="14">
        <f>CO74*(VLOOKUP(101,$A$24:$K$72,11,FALSE)-1)</f>
        <v>1.0850586779344302</v>
      </c>
      <c r="CU74" s="11">
        <f>CU$73*$D$60/$D$47</f>
        <v>2.7282108592937307E-4</v>
      </c>
      <c r="CV74" s="14">
        <f t="shared" si="64"/>
        <v>8.1846325778811924</v>
      </c>
      <c r="CW74" s="14">
        <f t="shared" si="67"/>
        <v>66642.419922596731</v>
      </c>
      <c r="CX74" s="14">
        <f t="shared" si="68"/>
        <v>128446.86408091498</v>
      </c>
      <c r="CY74" s="14">
        <f t="shared" si="65"/>
        <v>3853.4059224274492</v>
      </c>
      <c r="CZ74" s="14">
        <f t="shared" si="66"/>
        <v>70495.825845024185</v>
      </c>
      <c r="DA74" s="14">
        <f>CV74*(VLOOKUP(100,$A$24:$K$72,11,FALSE)-1)</f>
        <v>14.64360434000923</v>
      </c>
      <c r="DB74" s="11">
        <f>DB$73*$D$59/$D$47</f>
        <v>2.4690384011551931E-3</v>
      </c>
      <c r="DC74" s="14">
        <f t="shared" si="69"/>
        <v>74.071152034655796</v>
      </c>
      <c r="DD74" s="14">
        <f t="shared" si="72"/>
        <v>95124.917908305637</v>
      </c>
      <c r="DE74" s="14">
        <f t="shared" si="73"/>
        <v>197824.42122233356</v>
      </c>
      <c r="DF74" s="14">
        <f t="shared" si="70"/>
        <v>5934.7326366700063</v>
      </c>
      <c r="DG74" s="14">
        <f t="shared" si="71"/>
        <v>101059.65054497564</v>
      </c>
      <c r="DH74" s="14">
        <f>DC74*(VLOOKUP(99,$A$24:$K$72,11,FALSE)-1)</f>
        <v>142.4911890498278</v>
      </c>
      <c r="DI74" s="11">
        <f>DI$73*$D$58/$D$47</f>
        <v>1.6582808289396914E-2</v>
      </c>
      <c r="DJ74" s="14">
        <f t="shared" si="74"/>
        <v>497.48424868190739</v>
      </c>
      <c r="DK74" s="14">
        <f t="shared" si="77"/>
        <v>132223.36791118281</v>
      </c>
      <c r="DL74" s="14">
        <f t="shared" si="78"/>
        <v>295952.05593983468</v>
      </c>
      <c r="DM74" s="14">
        <f t="shared" si="75"/>
        <v>8878.5616781950393</v>
      </c>
      <c r="DN74" s="14">
        <f t="shared" si="76"/>
        <v>141101.92958937786</v>
      </c>
      <c r="DO74" s="14">
        <f>DJ74*(VLOOKUP(98,$A$24:$K$72,11,FALSE)-1)</f>
        <v>1026.3390824026922</v>
      </c>
      <c r="DP74" s="11">
        <f>DP$73*$D$57/$D$47</f>
        <v>8.4824373990567706E-2</v>
      </c>
      <c r="DQ74" s="14">
        <f t="shared" si="79"/>
        <v>2544.7312197170313</v>
      </c>
      <c r="DR74" s="14">
        <f t="shared" si="82"/>
        <v>178739.7835357243</v>
      </c>
      <c r="DS74" s="14">
        <f t="shared" si="83"/>
        <v>431154.30139398761</v>
      </c>
      <c r="DT74" s="14">
        <f t="shared" si="80"/>
        <v>12934.629041819628</v>
      </c>
      <c r="DU74" s="14">
        <f t="shared" si="81"/>
        <v>191674.41257754393</v>
      </c>
      <c r="DV74" s="14">
        <f>DQ74*(VLOOKUP(97,$A$24:$K$72,11,FALSE)-1)</f>
        <v>5637.1287170450305</v>
      </c>
      <c r="DW74" s="11">
        <f>DW$73*$D$56/$D$47</f>
        <v>0.33970817337099074</v>
      </c>
      <c r="DX74" s="14">
        <f t="shared" si="84"/>
        <v>10191.245201129723</v>
      </c>
      <c r="DY74" s="14">
        <f t="shared" si="87"/>
        <v>235227.82980119673</v>
      </c>
      <c r="DZ74" s="14">
        <f t="shared" si="88"/>
        <v>613298.77216358832</v>
      </c>
      <c r="EA74" s="14">
        <f t="shared" si="85"/>
        <v>18398.963164907647</v>
      </c>
      <c r="EB74" s="14">
        <f t="shared" si="86"/>
        <v>253626.79296610437</v>
      </c>
      <c r="EC74" s="14">
        <f>DX74*(VLOOKUP(96,$A$24:$K$72,11,FALSE)-1)</f>
        <v>24308.062735601427</v>
      </c>
      <c r="ED74" s="11">
        <f>ED$73*$D$55/$D$47</f>
        <v>1.091664319334535</v>
      </c>
      <c r="EE74" s="14">
        <f t="shared" si="89"/>
        <v>32749.929580036049</v>
      </c>
      <c r="EF74" s="14">
        <f t="shared" si="92"/>
        <v>301077.31727596978</v>
      </c>
      <c r="EG74" s="14">
        <f t="shared" si="93"/>
        <v>851472.96018267749</v>
      </c>
      <c r="EH74" s="14">
        <f t="shared" si="90"/>
        <v>25544.188805480324</v>
      </c>
      <c r="EI74" s="14">
        <f t="shared" si="91"/>
        <v>326621.50608145009</v>
      </c>
      <c r="EJ74" s="14">
        <f>EE74*(VLOOKUP(95,$A$24:$K$72,11,FALSE)-1)</f>
        <v>84386.376854367627</v>
      </c>
      <c r="EK74" s="11">
        <f>EK$73*$D$54/$D$47</f>
        <v>2.8858347695836848</v>
      </c>
      <c r="EL74" s="14">
        <f t="shared" si="94"/>
        <v>86575.043087510538</v>
      </c>
      <c r="EM74" s="14">
        <f t="shared" si="97"/>
        <v>375053.03662508581</v>
      </c>
      <c r="EN74" s="14">
        <f t="shared" si="98"/>
        <v>1154475.15262134</v>
      </c>
      <c r="EO74" s="14">
        <f t="shared" si="95"/>
        <v>34634.254578640197</v>
      </c>
      <c r="EP74" s="14">
        <f t="shared" si="96"/>
        <v>409687.29120372602</v>
      </c>
      <c r="EQ74" s="14">
        <f>EL74*(VLOOKUP(94,$A$24:$K$72,11,FALSE)-1)</f>
        <v>241738.9931510957</v>
      </c>
      <c r="ER74" s="11">
        <f>ER$73*$D$53/$D$47</f>
        <v>6.4216360684562543</v>
      </c>
      <c r="ES74" s="14">
        <f t="shared" si="99"/>
        <v>192649.08205368763</v>
      </c>
      <c r="ET74" s="14">
        <f t="shared" si="102"/>
        <v>455361.56432497624</v>
      </c>
      <c r="EU74" s="14">
        <f t="shared" si="103"/>
        <v>1530386.3515458039</v>
      </c>
      <c r="EV74" s="14">
        <f t="shared" si="100"/>
        <v>45911.590546374115</v>
      </c>
      <c r="EW74" s="14">
        <f t="shared" si="101"/>
        <v>501273.15487135033</v>
      </c>
      <c r="EX74" s="14">
        <f>ES74*(VLOOKUP(93,$A$24:$K$72,11,FALSE)-1)</f>
        <v>584529.4103109875</v>
      </c>
      <c r="EY74" s="11">
        <f>EY$73*$D$52/$D$47</f>
        <v>12.22330527214462</v>
      </c>
      <c r="EZ74" s="14">
        <f t="shared" si="104"/>
        <v>366699.15816433862</v>
      </c>
      <c r="FA74" s="14">
        <f t="shared" si="107"/>
        <v>540410.07117542753</v>
      </c>
      <c r="FB74" s="14">
        <f t="shared" si="108"/>
        <v>1985931.0817114678</v>
      </c>
      <c r="FC74" s="14">
        <f t="shared" si="105"/>
        <v>59577.93245134403</v>
      </c>
      <c r="FD74" s="14">
        <f t="shared" si="106"/>
        <v>599988.0036267715</v>
      </c>
      <c r="FE74" s="14">
        <f>EZ74*(VLOOKUP(92,$A$24:$K$72,11,FALSE)-1)</f>
        <v>1210318.0539930004</v>
      </c>
      <c r="FF74" s="11">
        <f>FF$73*$D$51/$D$47</f>
        <v>20.177671996275411</v>
      </c>
      <c r="FG74" s="14">
        <f t="shared" si="109"/>
        <v>605330.15988826228</v>
      </c>
      <c r="FH74" s="14">
        <f t="shared" si="112"/>
        <v>631482.46247615758</v>
      </c>
      <c r="FI74" s="14">
        <f t="shared" si="113"/>
        <v>2526400.150603252</v>
      </c>
      <c r="FJ74" s="14">
        <f t="shared" si="110"/>
        <v>75792.004518097558</v>
      </c>
      <c r="FK74" s="14">
        <f t="shared" si="111"/>
        <v>707274.46699425508</v>
      </c>
      <c r="FL74" s="14">
        <f>FG74*(VLOOKUP(91,$A$24:$K$72,11,FALSE)-1)</f>
        <v>2162986.9070540858</v>
      </c>
      <c r="FM74" s="11">
        <f>FM$73*$D$50/$D$47</f>
        <v>29.32929703077599</v>
      </c>
      <c r="FN74" s="14">
        <f t="shared" si="114"/>
        <v>879878.91092327971</v>
      </c>
      <c r="FO74" s="14">
        <f t="shared" si="117"/>
        <v>728150.11977531924</v>
      </c>
      <c r="FP74" s="14">
        <f t="shared" si="118"/>
        <v>3158093.3264856571</v>
      </c>
      <c r="FQ74" s="14">
        <f t="shared" si="115"/>
        <v>94742.799794569713</v>
      </c>
      <c r="FR74" s="14">
        <f t="shared" si="116"/>
        <v>822892.91956988897</v>
      </c>
      <c r="FS74" s="14">
        <f>FN74*(VLOOKUP(90,$A$24:$K$72,11,FALSE)-1)</f>
        <v>3388274.1916174721</v>
      </c>
      <c r="FT74" s="11">
        <f>FT$73*$D$49/$D$47</f>
        <v>38.241812592287623</v>
      </c>
      <c r="FU74" s="14">
        <f t="shared" si="119"/>
        <v>1147254.3777686288</v>
      </c>
      <c r="FV74" s="14">
        <f t="shared" si="122"/>
        <v>827054.86160826625</v>
      </c>
      <c r="FW74" s="14">
        <f t="shared" si="123"/>
        <v>3886626.0442141476</v>
      </c>
      <c r="FX74" s="14">
        <f t="shared" si="120"/>
        <v>116598.78132642442</v>
      </c>
      <c r="FY74" s="14">
        <f t="shared" si="121"/>
        <v>943653.6429346907</v>
      </c>
      <c r="FZ74" s="14">
        <f>FU74*(VLOOKUP(89,$A$24:$K$72,11,FALSE)-1)</f>
        <v>4757392.0244609974</v>
      </c>
      <c r="GA74" s="11">
        <f>GA$73*$D$48/$D$47</f>
        <v>45.308970793759457</v>
      </c>
      <c r="GB74" s="14">
        <f t="shared" si="124"/>
        <v>1359269.1238127837</v>
      </c>
      <c r="GC74" s="14">
        <f t="shared" si="127"/>
        <v>922089.36901885341</v>
      </c>
      <c r="GD74" s="14">
        <f t="shared" si="128"/>
        <v>4714018.8913796972</v>
      </c>
      <c r="GE74" s="14">
        <f t="shared" si="125"/>
        <v>141420.56674139091</v>
      </c>
      <c r="GF74" s="14">
        <f t="shared" si="126"/>
        <v>1063509.9357602443</v>
      </c>
      <c r="GG74" s="14">
        <f>GB74*(VLOOKUP(88,$A$24:$K$72,11,FALSE)-1)</f>
        <v>6092490.2353173979</v>
      </c>
      <c r="GH74" s="11">
        <f>GH$73*$D$47/$D$47</f>
        <v>49.085926541738367</v>
      </c>
      <c r="GI74" s="14">
        <f t="shared" si="129"/>
        <v>1472577.796252151</v>
      </c>
      <c r="GJ74" s="14">
        <f t="shared" si="132"/>
        <v>1014675.0554122438</v>
      </c>
      <c r="GK74" s="14">
        <f t="shared" si="133"/>
        <v>5635777.3015324241</v>
      </c>
      <c r="GL74" s="14">
        <f t="shared" si="130"/>
        <v>169073.31904597272</v>
      </c>
      <c r="GM74" s="14">
        <f t="shared" si="131"/>
        <v>1183748.3744582166</v>
      </c>
      <c r="GN74" s="14">
        <f>GI74*(VLOOKUP(87,$A$24:$K$72,11,FALSE)-1)</f>
        <v>7122212.3976386087</v>
      </c>
      <c r="GO74" s="11">
        <f>GO$73*$D$46/$D$47</f>
        <v>49.136718139246454</v>
      </c>
      <c r="GP74" s="14">
        <f t="shared" si="134"/>
        <v>1474101.5441773937</v>
      </c>
      <c r="GQ74" s="14">
        <f t="shared" ref="GQ74:GQ96" si="137">GR73/$G48</f>
        <v>1110688.8891006943</v>
      </c>
      <c r="GR74" s="14">
        <f t="shared" ref="GR74:GR96" si="138">GR73-GQ74</f>
        <v>6657333.9037170187</v>
      </c>
      <c r="GS74" s="14">
        <f t="shared" si="135"/>
        <v>199720.01711151056</v>
      </c>
      <c r="GT74" s="14">
        <f t="shared" si="136"/>
        <v>1310408.9062122048</v>
      </c>
      <c r="GU74" s="14">
        <f>GP74*(VLOOKUP(86,$A$24:$K$72,11,FALSE)-1)</f>
        <v>7638901.6410713475</v>
      </c>
      <c r="GV74" s="11">
        <f>($N73-$N74)+(GO73-GO74)+(GH73-GH74)+(GA73-GA74)+(FT73-FT74)+(FM73-FM74)+(FF73-FF74)+(EY73-EY74)+(ER73-ER74)+(EK73-EK74)+(ED73-ED74)+(DW73-DW74)+(DP73-DP74)+(DI73-DI74)+(DB73-DB74)+(CU73-CU74)+(CN73-CN74)+(CG73-CG74)+(BZ73-BZ74)+(BS73-BS74)+(BL73-BL74)+(BE73-BE74)+(AX73-AX74)+(AQ73-AQ74)+(AJ73-AJ74)+(AC73-AC74)+(V73-V74)</f>
        <v>45.653282187738569</v>
      </c>
      <c r="GW74" s="14">
        <f t="shared" ref="GW74:GW96" si="139">GV74*$B$21</f>
        <v>1369598.4656321572</v>
      </c>
      <c r="GX74" s="14">
        <f>GW$46/$G47</f>
        <v>1201416.3496498221</v>
      </c>
      <c r="GY74" s="14">
        <f>GW$46-GX74</f>
        <v>7755562.5108143725</v>
      </c>
      <c r="GZ74" s="14">
        <f t="shared" ref="GZ74:GZ96" si="140">$B$20*GY74</f>
        <v>232666.87532443117</v>
      </c>
      <c r="HA74" s="14">
        <f t="shared" ref="HA74:HA96" si="141">GX74+GZ74</f>
        <v>1434083.2249742532</v>
      </c>
      <c r="HB74" s="14">
        <f>GW74*(VLOOKUP(85,$A$24:$K$72,11,FALSE)-1)</f>
        <v>7587380.3948320327</v>
      </c>
      <c r="HR74" s="15"/>
      <c r="HS74" s="15"/>
      <c r="HT74" s="15"/>
      <c r="HU74" s="14"/>
      <c r="HV74" s="14"/>
      <c r="NC74" s="15">
        <v>28</v>
      </c>
      <c r="ND74" s="15">
        <f>N74+V74+AC74+AJ74+AQ74+AX74+BE74+BL74+BS74+BZ74+CG74+CN74+CU74+DB74+DI74+DP74+DW74+ED74+EK74+ER74+EY74+FF74+FM74+FT74+GA74+GH74+GO74+GV74</f>
        <v>300</v>
      </c>
      <c r="NE74" s="14">
        <f>P74+W74+AD74+AK74+AR74+AY74+BF74+BM74+BT74+CA74+CH74+CO74+CV74+DC74+DJ74+DQ74+DX74+EE74+EL74+ES74+EZ74+FG74+FN74+FU74+GB74+GI74+GP74+GW74</f>
        <v>9000000</v>
      </c>
      <c r="NF74" s="14">
        <f>T74+AA74+AH74+AO74+AV74+BC74+BJ74+BQ74+BX74+CE74+CL74+CS74+CZ74+DG74+DN74+DU74+EB74+EI74+EP74+EW74+FD74+FK74+FR74+FY74+GF74+GM74+GT74+HA74</f>
        <v>10183888.7119148</v>
      </c>
      <c r="NH74" s="14">
        <f>U74+AB74+AI74+AP74+AW74+BD74+BK74+BR74+BY74+CF74+CM74+CT74+DA74+DH74+DO74+DV74+EC74+EJ74+EQ74+EX74+FE74+FL74+FS74+FZ74+GG74+GN74+GU74+HB74</f>
        <v>40901740.435149126</v>
      </c>
      <c r="NI74" s="14">
        <f>R74+Y74+AF74+AM74+AT74+BA74+BH74+BO74+BV74+CC74+CJ74+CQ74+CX74+DE74+DL74+DS74+DZ74+EG74+EN74+EU74+FB74+FI74+FP74+FW74+GD74+GK74+GR74+GY74</f>
        <v>41709266.16616042</v>
      </c>
    </row>
    <row r="75" spans="1:373" x14ac:dyDescent="0.25">
      <c r="A75" s="1"/>
      <c r="B75" s="3"/>
      <c r="O75" t="s">
        <v>122</v>
      </c>
      <c r="V75" s="11">
        <f>V$74*$D$72/$D$47</f>
        <v>0</v>
      </c>
      <c r="W75" s="14"/>
      <c r="X75" s="14"/>
      <c r="Y75" s="14"/>
      <c r="Z75" s="14"/>
      <c r="AA75" s="14"/>
      <c r="AC75" s="11"/>
      <c r="AD75" s="14"/>
      <c r="AE75" s="14"/>
      <c r="AF75" s="14"/>
      <c r="AG75" s="14"/>
      <c r="AH75" s="14"/>
      <c r="AJ75" s="11"/>
      <c r="AK75" s="14"/>
      <c r="AL75" s="14"/>
      <c r="AM75" s="14"/>
      <c r="AN75" s="14"/>
      <c r="AO75" s="14"/>
      <c r="AQ75" s="11">
        <f>AQ$74*$D$69/$D$47</f>
        <v>9.7357948004392641E-21</v>
      </c>
      <c r="AR75" s="14">
        <f t="shared" si="24"/>
        <v>2.9207384401317793E-16</v>
      </c>
      <c r="AS75" s="14">
        <f t="shared" si="27"/>
        <v>398.0409998367183</v>
      </c>
      <c r="AT75" s="14">
        <f t="shared" si="28"/>
        <v>199.02049991835912</v>
      </c>
      <c r="AU75" s="14">
        <f t="shared" si="25"/>
        <v>5.9706149975507739</v>
      </c>
      <c r="AV75" s="14">
        <f t="shared" si="26"/>
        <v>404.0116148342691</v>
      </c>
      <c r="AW75" s="14">
        <f>AR75*(VLOOKUP(109,$A$24:$K$72,11,FALSE)-1)</f>
        <v>1.4178341942387278E-16</v>
      </c>
      <c r="AX75" s="11">
        <f>AX$74*$D$68/$D$47</f>
        <v>5.0041072989846562E-18</v>
      </c>
      <c r="AY75" s="14">
        <f t="shared" si="29"/>
        <v>1.501232189695397E-13</v>
      </c>
      <c r="AZ75" s="14">
        <f t="shared" si="32"/>
        <v>917.28991906394106</v>
      </c>
      <c r="BA75" s="14">
        <f t="shared" si="33"/>
        <v>702.82753598679153</v>
      </c>
      <c r="BB75" s="14">
        <f t="shared" si="30"/>
        <v>21.084826079603744</v>
      </c>
      <c r="BC75" s="14">
        <f t="shared" si="31"/>
        <v>938.37474514354483</v>
      </c>
      <c r="BD75" s="14">
        <f>AY75*(VLOOKUP(108,$A$24:$K$72,11,FALSE)-1)</f>
        <v>1.105899694428792E-13</v>
      </c>
      <c r="BE75" s="11">
        <f>BE$74*$D$67/$D$47</f>
        <v>1.3830845977764566E-15</v>
      </c>
      <c r="BF75" s="14">
        <f t="shared" si="34"/>
        <v>4.1492537933293701E-11</v>
      </c>
      <c r="BG75" s="14">
        <f t="shared" si="37"/>
        <v>1909.7506657625393</v>
      </c>
      <c r="BH75" s="14">
        <f t="shared" si="38"/>
        <v>1816.3613755308859</v>
      </c>
      <c r="BI75" s="14">
        <f t="shared" si="35"/>
        <v>54.490841265926576</v>
      </c>
      <c r="BJ75" s="14">
        <f t="shared" si="36"/>
        <v>1964.2415070284658</v>
      </c>
      <c r="BK75" s="14">
        <f>BF75*(VLOOKUP(107,$A$24:$K$72,11,FALSE)-1)</f>
        <v>3.7673295792462317E-11</v>
      </c>
      <c r="BL75" s="11">
        <f>BL$74*$D$66/$D$47</f>
        <v>2.1926933035249679E-13</v>
      </c>
      <c r="BM75" s="14">
        <f t="shared" si="39"/>
        <v>6.5780799105749037E-9</v>
      </c>
      <c r="BN75" s="14">
        <f t="shared" si="42"/>
        <v>3691.7801369304375</v>
      </c>
      <c r="BO75" s="14">
        <f t="shared" si="43"/>
        <v>4066.829284635362</v>
      </c>
      <c r="BP75" s="14">
        <f t="shared" si="40"/>
        <v>122.00487853906085</v>
      </c>
      <c r="BQ75" s="14">
        <f t="shared" si="41"/>
        <v>3813.7850154694984</v>
      </c>
      <c r="BR75" s="14">
        <f>BM75*(VLOOKUP(106,$A$24:$K$72,11,FALSE)-1)</f>
        <v>6.8797171666732052E-9</v>
      </c>
      <c r="BS75" s="11">
        <f>BS$74*$D$65/$D$47</f>
        <v>2.1041046182045087E-11</v>
      </c>
      <c r="BT75" s="14">
        <f t="shared" si="44"/>
        <v>6.312313854613526E-7</v>
      </c>
      <c r="BU75" s="14">
        <f t="shared" si="47"/>
        <v>6758.1421769193021</v>
      </c>
      <c r="BV75" s="14">
        <f t="shared" si="48"/>
        <v>8368.3169933432891</v>
      </c>
      <c r="BW75" s="14">
        <f t="shared" si="45"/>
        <v>251.04950980029867</v>
      </c>
      <c r="BX75" s="14">
        <f t="shared" si="46"/>
        <v>7009.1916867196005</v>
      </c>
      <c r="BY75" s="14">
        <f>BT75*(VLOOKUP(105,$A$24:$K$72,11,FALSE)-1)</f>
        <v>7.3873542977660226E-7</v>
      </c>
      <c r="BZ75" s="11">
        <f>BZ$74*$D$64/$D$47</f>
        <v>1.2718975435160304E-9</v>
      </c>
      <c r="CA75" s="14">
        <f t="shared" si="49"/>
        <v>3.8156926305480913E-5</v>
      </c>
      <c r="CB75" s="14">
        <f t="shared" si="52"/>
        <v>11817.011277550091</v>
      </c>
      <c r="CC75" s="14">
        <f t="shared" si="53"/>
        <v>16200.323924688377</v>
      </c>
      <c r="CD75" s="14">
        <f t="shared" si="50"/>
        <v>486.0097177406513</v>
      </c>
      <c r="CE75" s="14">
        <f t="shared" si="51"/>
        <v>12303.020995290743</v>
      </c>
      <c r="CF75" s="14">
        <f>CA75*(VLOOKUP(104,$A$24:$K$72,11,FALSE)-1)</f>
        <v>4.9245178348833403E-5</v>
      </c>
      <c r="CG75" s="11">
        <f>CG$74*$D$63/$D$47</f>
        <v>4.9175584344302915E-8</v>
      </c>
      <c r="CH75" s="14">
        <f t="shared" si="54"/>
        <v>1.4752675303290874E-3</v>
      </c>
      <c r="CI75" s="14">
        <f t="shared" si="57"/>
        <v>19477.620367286287</v>
      </c>
      <c r="CJ75" s="14">
        <f t="shared" si="58"/>
        <v>29296.669198141124</v>
      </c>
      <c r="CK75" s="14">
        <f t="shared" si="55"/>
        <v>878.90007594423366</v>
      </c>
      <c r="CL75" s="14">
        <f t="shared" si="56"/>
        <v>20356.520443230522</v>
      </c>
      <c r="CM75" s="14">
        <f>CH75*(VLOOKUP(103,$A$24:$K$72,11,FALSE)-1)</f>
        <v>2.0813505923414286E-3</v>
      </c>
      <c r="CN75" s="11">
        <f>CN$74*$D$62/$D$47</f>
        <v>1.2610863281190662E-6</v>
      </c>
      <c r="CO75" s="14">
        <f t="shared" si="59"/>
        <v>3.7832589843571983E-2</v>
      </c>
      <c r="CP75" s="14">
        <f t="shared" si="62"/>
        <v>30568.298751430972</v>
      </c>
      <c r="CQ75" s="14">
        <f t="shared" si="63"/>
        <v>50145.726079360866</v>
      </c>
      <c r="CR75" s="14">
        <f t="shared" si="60"/>
        <v>1504.3717823808258</v>
      </c>
      <c r="CS75" s="14">
        <f t="shared" si="61"/>
        <v>32072.670533811797</v>
      </c>
      <c r="CT75" s="14">
        <f>CO75*(VLOOKUP(102,$A$24:$K$72,11,FALSE)-1)</f>
        <v>5.8010004603908157E-2</v>
      </c>
      <c r="CU75" s="11">
        <f>CU$74*$D$61/$D$47</f>
        <v>2.2217205366299796E-5</v>
      </c>
      <c r="CV75" s="14">
        <f t="shared" si="64"/>
        <v>0.66651616098899391</v>
      </c>
      <c r="CW75" s="14">
        <f t="shared" si="67"/>
        <v>46183.197006359536</v>
      </c>
      <c r="CX75" s="14">
        <f t="shared" si="68"/>
        <v>82263.667074555444</v>
      </c>
      <c r="CY75" s="14">
        <f t="shared" si="65"/>
        <v>2467.9100122366631</v>
      </c>
      <c r="CZ75" s="14">
        <f t="shared" si="66"/>
        <v>48651.107018596202</v>
      </c>
      <c r="DA75" s="14">
        <f>CV75*(VLOOKUP(101,$A$24:$K$72,11,FALSE)-1)</f>
        <v>1.1058909034096738</v>
      </c>
      <c r="DB75" s="11">
        <f>DB$74*$D$60/$D$47</f>
        <v>2.7664601721668768E-4</v>
      </c>
      <c r="DC75" s="14">
        <f t="shared" si="69"/>
        <v>8.29938051650063</v>
      </c>
      <c r="DD75" s="14">
        <f t="shared" si="72"/>
        <v>67576.74168206031</v>
      </c>
      <c r="DE75" s="14">
        <f t="shared" si="73"/>
        <v>130247.67954027325</v>
      </c>
      <c r="DF75" s="14">
        <f t="shared" si="70"/>
        <v>3907.4303862081974</v>
      </c>
      <c r="DG75" s="14">
        <f t="shared" si="71"/>
        <v>71484.172068268512</v>
      </c>
      <c r="DH75" s="14">
        <f>DC75*(VLOOKUP(100,$A$24:$K$72,11,FALSE)-1)</f>
        <v>14.848906581250425</v>
      </c>
      <c r="DI75" s="11">
        <f>DI$74*$D$59/$D$47</f>
        <v>2.4943459274725382E-3</v>
      </c>
      <c r="DJ75" s="14">
        <f t="shared" si="74"/>
        <v>74.830377824176153</v>
      </c>
      <c r="DK75" s="14">
        <f t="shared" si="77"/>
        <v>96099.943797847678</v>
      </c>
      <c r="DL75" s="14">
        <f t="shared" si="78"/>
        <v>199852.11214198702</v>
      </c>
      <c r="DM75" s="14">
        <f t="shared" si="75"/>
        <v>5995.5633642596104</v>
      </c>
      <c r="DN75" s="14">
        <f t="shared" si="76"/>
        <v>102095.50716210729</v>
      </c>
      <c r="DO75" s="14">
        <f>DJ75*(VLOOKUP(99,$A$24:$K$72,11,FALSE)-1)</f>
        <v>143.95171696838148</v>
      </c>
      <c r="DP75" s="11">
        <f>DP$74*$D$58/$D$47</f>
        <v>1.6698177253753579E-2</v>
      </c>
      <c r="DQ75" s="14">
        <f t="shared" si="79"/>
        <v>500.94531761260737</v>
      </c>
      <c r="DR75" s="14">
        <f t="shared" si="82"/>
        <v>133143.26475576105</v>
      </c>
      <c r="DS75" s="14">
        <f t="shared" si="83"/>
        <v>298011.03663822659</v>
      </c>
      <c r="DT75" s="14">
        <f t="shared" si="80"/>
        <v>8940.331099146797</v>
      </c>
      <c r="DU75" s="14">
        <f t="shared" si="81"/>
        <v>142083.59585490785</v>
      </c>
      <c r="DV75" s="14">
        <f>DQ75*(VLOOKUP(98,$A$24:$K$72,11,FALSE)-1)</f>
        <v>1033.4794699021534</v>
      </c>
      <c r="DW75" s="11">
        <f>DW$74*$D$57/$D$47</f>
        <v>8.5297899591788295E-2</v>
      </c>
      <c r="DX75" s="14">
        <f t="shared" si="84"/>
        <v>2558.9369877536487</v>
      </c>
      <c r="DY75" s="14">
        <f t="shared" si="87"/>
        <v>179737.58475109443</v>
      </c>
      <c r="DZ75" s="14">
        <f t="shared" si="88"/>
        <v>433561.18741249386</v>
      </c>
      <c r="EA75" s="14">
        <f t="shared" si="85"/>
        <v>13006.835622374816</v>
      </c>
      <c r="EB75" s="14">
        <f t="shared" si="86"/>
        <v>192744.42037346924</v>
      </c>
      <c r="EC75" s="14">
        <f>DX75*(VLOOKUP(97,$A$24:$K$72,11,FALSE)-1)</f>
        <v>5668.5975583617183</v>
      </c>
      <c r="ED75" s="11">
        <f>ED$74*$D$56/$D$47</f>
        <v>0.34088774978730962</v>
      </c>
      <c r="EE75" s="14">
        <f t="shared" si="89"/>
        <v>10226.632493619289</v>
      </c>
      <c r="EF75" s="14">
        <f t="shared" si="92"/>
        <v>236044.61674436028</v>
      </c>
      <c r="EG75" s="14">
        <f t="shared" si="93"/>
        <v>615428.34343831718</v>
      </c>
      <c r="EH75" s="14">
        <f t="shared" si="90"/>
        <v>18462.850303149517</v>
      </c>
      <c r="EI75" s="14">
        <f t="shared" si="91"/>
        <v>254507.4670475098</v>
      </c>
      <c r="EJ75" s="14">
        <f>EE75*(VLOOKUP(96,$A$24:$K$72,11,FALSE)-1)</f>
        <v>24392.46817467222</v>
      </c>
      <c r="EK75" s="11">
        <f>EK$74*$D$55/$D$47</f>
        <v>1.0934875088086791</v>
      </c>
      <c r="EL75" s="14">
        <f t="shared" si="94"/>
        <v>32804.625264260372</v>
      </c>
      <c r="EM75" s="14">
        <f t="shared" si="97"/>
        <v>301580.14675023145</v>
      </c>
      <c r="EN75" s="14">
        <f t="shared" si="98"/>
        <v>852895.0058711085</v>
      </c>
      <c r="EO75" s="14">
        <f t="shared" si="95"/>
        <v>25586.850176133255</v>
      </c>
      <c r="EP75" s="14">
        <f t="shared" si="96"/>
        <v>327166.99692636472</v>
      </c>
      <c r="EQ75" s="14">
        <f>EL75*(VLOOKUP(95,$A$24:$K$72,11,FALSE)-1)</f>
        <v>84527.310611491645</v>
      </c>
      <c r="ER75" s="11">
        <f>ER$74*$D$54/$D$47</f>
        <v>2.8874539058761082</v>
      </c>
      <c r="ES75" s="14">
        <f t="shared" si="99"/>
        <v>86623.617176283238</v>
      </c>
      <c r="ET75" s="14">
        <f t="shared" si="102"/>
        <v>375263.46516021306</v>
      </c>
      <c r="EU75" s="14">
        <f t="shared" si="103"/>
        <v>1155122.8863855908</v>
      </c>
      <c r="EV75" s="14">
        <f t="shared" si="100"/>
        <v>34653.686591567719</v>
      </c>
      <c r="EW75" s="14">
        <f t="shared" si="101"/>
        <v>409917.15175178077</v>
      </c>
      <c r="EX75" s="14">
        <f>ES75*(VLOOKUP(94,$A$24:$K$72,11,FALSE)-1)</f>
        <v>241874.62405457994</v>
      </c>
      <c r="EY75" s="11">
        <f>EY$74*$D$53/$D$47</f>
        <v>6.4222284016319051</v>
      </c>
      <c r="EZ75" s="14">
        <f t="shared" si="104"/>
        <v>192666.85204895717</v>
      </c>
      <c r="FA75" s="14">
        <f t="shared" si="107"/>
        <v>455403.56697953265</v>
      </c>
      <c r="FB75" s="14">
        <f t="shared" si="108"/>
        <v>1530527.5147319352</v>
      </c>
      <c r="FC75" s="14">
        <f t="shared" si="105"/>
        <v>45915.825441958055</v>
      </c>
      <c r="FD75" s="14">
        <f t="shared" si="106"/>
        <v>501319.39242149069</v>
      </c>
      <c r="FE75" s="14">
        <f>EZ75*(VLOOKUP(93,$A$24:$K$72,11,FALSE)-1)</f>
        <v>584583.32743711863</v>
      </c>
      <c r="FF75" s="11">
        <f>FF$74*$D$52/$D$47</f>
        <v>12.223590723338159</v>
      </c>
      <c r="FG75" s="14">
        <f t="shared" si="109"/>
        <v>366707.72170014476</v>
      </c>
      <c r="FH75" s="14">
        <f t="shared" si="112"/>
        <v>540422.69138709561</v>
      </c>
      <c r="FI75" s="14">
        <f t="shared" si="113"/>
        <v>1985977.4592161565</v>
      </c>
      <c r="FJ75" s="14">
        <f t="shared" si="110"/>
        <v>59579.323776484693</v>
      </c>
      <c r="FK75" s="14">
        <f t="shared" si="111"/>
        <v>600002.0151635803</v>
      </c>
      <c r="FL75" s="14">
        <f>FG75*(VLOOKUP(92,$A$24:$K$72,11,FALSE)-1)</f>
        <v>1210346.3185847276</v>
      </c>
      <c r="FM75" s="11">
        <f>FM$74*$D$51/$D$47</f>
        <v>20.179018375009978</v>
      </c>
      <c r="FN75" s="14">
        <f t="shared" si="114"/>
        <v>605370.55125029932</v>
      </c>
      <c r="FO75" s="14">
        <f t="shared" si="117"/>
        <v>631524.59888113441</v>
      </c>
      <c r="FP75" s="14">
        <f t="shared" si="118"/>
        <v>2526568.7276045228</v>
      </c>
      <c r="FQ75" s="14">
        <f t="shared" si="115"/>
        <v>75797.061828135687</v>
      </c>
      <c r="FR75" s="14">
        <f t="shared" si="116"/>
        <v>707321.66070927004</v>
      </c>
      <c r="FS75" s="14">
        <f>FN75*(VLOOKUP(91,$A$24:$K$72,11,FALSE)-1)</f>
        <v>2163131.2348821596</v>
      </c>
      <c r="FT75" s="11">
        <f>FT$74*$D$50/$D$47</f>
        <v>29.332184479585393</v>
      </c>
      <c r="FU75" s="14">
        <f t="shared" si="119"/>
        <v>879965.53438756184</v>
      </c>
      <c r="FV75" s="14">
        <f t="shared" si="122"/>
        <v>728221.80564607854</v>
      </c>
      <c r="FW75" s="14">
        <f t="shared" si="123"/>
        <v>3158404.2385680689</v>
      </c>
      <c r="FX75" s="14">
        <f t="shared" si="120"/>
        <v>94752.127157042065</v>
      </c>
      <c r="FY75" s="14">
        <f t="shared" si="121"/>
        <v>822973.93280312058</v>
      </c>
      <c r="FZ75" s="14">
        <f>FU75*(VLOOKUP(90,$A$24:$K$72,11,FALSE)-1)</f>
        <v>3388607.7648453019</v>
      </c>
      <c r="GA75" s="11">
        <f>GA$74*$D$49/$D$47</f>
        <v>38.24455464899426</v>
      </c>
      <c r="GB75" s="14">
        <f t="shared" si="124"/>
        <v>1147336.6394698278</v>
      </c>
      <c r="GC75" s="14">
        <f t="shared" si="127"/>
        <v>827114.16400991147</v>
      </c>
      <c r="GD75" s="14">
        <f t="shared" si="128"/>
        <v>3886904.7273697858</v>
      </c>
      <c r="GE75" s="14">
        <f t="shared" si="125"/>
        <v>116607.14182109357</v>
      </c>
      <c r="GF75" s="14">
        <f t="shared" si="126"/>
        <v>943721.3058310051</v>
      </c>
      <c r="GG75" s="14">
        <f>GB75*(VLOOKUP(89,$A$24:$K$72,11,FALSE)-1)</f>
        <v>4757733.1442412185</v>
      </c>
      <c r="GH75" s="11">
        <f>GH$74*$D$48/$D$47</f>
        <v>45.306310198024505</v>
      </c>
      <c r="GI75" s="14">
        <f t="shared" si="129"/>
        <v>1359189.3059407352</v>
      </c>
      <c r="GJ75" s="14">
        <f t="shared" si="132"/>
        <v>922035.22285310598</v>
      </c>
      <c r="GK75" s="14">
        <f t="shared" si="133"/>
        <v>4713742.0786793176</v>
      </c>
      <c r="GL75" s="14">
        <f t="shared" si="130"/>
        <v>141412.26236037954</v>
      </c>
      <c r="GM75" s="14">
        <f t="shared" si="131"/>
        <v>1063447.4852134855</v>
      </c>
      <c r="GN75" s="14">
        <f>GI75*(VLOOKUP(88,$A$24:$K$72,11,FALSE)-1)</f>
        <v>6092132.477168154</v>
      </c>
      <c r="GO75" s="11">
        <f>GO$74*$D$47/$D$47</f>
        <v>49.136718139246454</v>
      </c>
      <c r="GP75" s="14">
        <f t="shared" si="134"/>
        <v>1474101.5441773937</v>
      </c>
      <c r="GQ75" s="14">
        <f t="shared" si="137"/>
        <v>1015724.9890825851</v>
      </c>
      <c r="GR75" s="14">
        <f t="shared" si="138"/>
        <v>5641608.9146344336</v>
      </c>
      <c r="GS75" s="14">
        <f t="shared" si="135"/>
        <v>169248.26743903299</v>
      </c>
      <c r="GT75" s="14">
        <f t="shared" si="136"/>
        <v>1184973.256521618</v>
      </c>
      <c r="GU75" s="14">
        <f>GP75*(VLOOKUP(87,$A$24:$K$72,11,FALSE)-1)</f>
        <v>7129582.0974885318</v>
      </c>
      <c r="GV75" s="11">
        <f>GV$74*$D$46/$D$47</f>
        <v>49.057900481128911</v>
      </c>
      <c r="GW75" s="14">
        <f t="shared" si="139"/>
        <v>1471737.0144338673</v>
      </c>
      <c r="GX75" s="14">
        <f t="shared" ref="GX75:GX96" si="142">GY74/$G48</f>
        <v>1108907.2907267853</v>
      </c>
      <c r="GY75" s="14">
        <f t="shared" ref="GY75:GY96" si="143">GY74-GX75</f>
        <v>6646655.2200875869</v>
      </c>
      <c r="GZ75" s="14">
        <f t="shared" si="140"/>
        <v>199399.6566026276</v>
      </c>
      <c r="HA75" s="14">
        <f t="shared" si="141"/>
        <v>1308306.9473294129</v>
      </c>
      <c r="HB75" s="14">
        <f>GW75*(VLOOKUP(86,$A$24:$K$72,11,FALSE)-1)</f>
        <v>7626648.4756028419</v>
      </c>
      <c r="HC75" s="11">
        <f>($N74-$N75)+(GV74-GV75)+(GO74-GO75)+(GH74-GH75)+(GA74-GA75)+(FT74-FT75)+(FM74-FM75)+(FF74-FF75)+(EY74-EY75)+(ER74-ER75)+(EK74-EK75)+(ED74-ED75)+(DW74-DW75)+(DP74-DP75)+(DI74-DI75)+(DB74-DB75)+(CU74-CU75)+(CN74-CN75)+(CG74-CG75)+(BZ74-BZ75)+(BS74-BS75)+(BL74-BL75)+(BE74-BE75)+(AX74-AX75)+(AQ74-AQ75)+(AJ74-AJ75)+(AC74-AC75)+(V74-V75)</f>
        <v>45.670874791017646</v>
      </c>
      <c r="HD75" s="14">
        <f t="shared" ref="HD75:HD96" si="144">HC75*$B$21</f>
        <v>1370126.2437305294</v>
      </c>
      <c r="HE75" s="14">
        <f>HD$46/$G47</f>
        <v>1201879.3183609298</v>
      </c>
      <c r="HF75" s="14">
        <f>HD$46-HE75</f>
        <v>7758551.1356825083</v>
      </c>
      <c r="HG75" s="14">
        <f t="shared" ref="HG75:HG96" si="145">$B$20*HF75</f>
        <v>232756.53407047523</v>
      </c>
      <c r="HH75" s="14">
        <f t="shared" ref="HH75:HH96" si="146">HE75+HG75</f>
        <v>1434635.8524314051</v>
      </c>
      <c r="HI75" s="14">
        <f>HD75*(VLOOKUP(85,$A$24:$K$72,11,FALSE)-1)</f>
        <v>7590304.2103129178</v>
      </c>
      <c r="HR75" s="15"/>
      <c r="HS75" s="15"/>
      <c r="HT75" s="15"/>
      <c r="HU75" s="14"/>
      <c r="HV75" s="14"/>
      <c r="NC75" s="15">
        <v>29</v>
      </c>
      <c r="ND75" s="15">
        <f>N75+V75+AC75+AJ75+AQ75+AX75+BE75+BL75+BS75+BZ75+CG75+CN75+CU75+DB75+DI75+DP75+DW75+ED75+EK75+ER75+EY75+FF75+FM75+FT75+GA75+GH75+GO75+GV75+HC75</f>
        <v>300</v>
      </c>
      <c r="NE75" s="14">
        <f>P75+W75+AD75+AK75+AR75+AY75+BF75+BM75+BT75+CA75+CH75+CO75+CV75+DC75+DJ75+DQ75+DX75+EE75+EL75+ES75+EZ75+FG75+FN75+FU75+GB75+GI75+GP75+GW75+HD75</f>
        <v>9000000</v>
      </c>
      <c r="NF75" s="14">
        <f>T75+AA75+AH75+AO75+AV75+BC75+BJ75+BQ75+BX75+CE75+CL75+CS75+CZ75+DG75+DN75+DU75+EB75+EI75+EP75+EW75+FD75+FK75+FR75+FY75+GF75+GM75+GT75+HA75+HH75</f>
        <v>10194214.08316892</v>
      </c>
      <c r="NH75" s="14">
        <f>U75+AB75+AI75+AP75+AW75+BD75+BK75+BR75+BY75+CF75+CM75+CT75+DA75+DH75+DO75+DV75+EC75+EJ75+EQ75+EX75+FE75+FL75+FS75+FZ75+GG75+GN75+GU75+HB75+HI75</f>
        <v>40900725.497087777</v>
      </c>
      <c r="NI75" s="14">
        <f>R75+Y75+AF75+AM75+AT75+BA75+BH75+BO75+BV75+CC75+CJ75+CQ75+CX75+DE75+DL75+DS75+DZ75+EG75+EN75+EU75+FB75+FI75+FP75+FW75+GD75+GK75+GR75+GY75+HF75</f>
        <v>41727118.009968475</v>
      </c>
    </row>
    <row r="76" spans="1:373" x14ac:dyDescent="0.25">
      <c r="A76" s="1"/>
      <c r="B76" s="3"/>
      <c r="V76" s="11">
        <f>V$75*$D$73/$D$47</f>
        <v>0</v>
      </c>
      <c r="W76" s="14"/>
      <c r="X76" s="14"/>
      <c r="Y76" s="14"/>
      <c r="Z76" s="14"/>
      <c r="AA76" s="14"/>
      <c r="AC76" s="11"/>
      <c r="AD76" s="14"/>
      <c r="AE76" s="14"/>
      <c r="AF76" s="14"/>
      <c r="AG76" s="14"/>
      <c r="AH76" s="14"/>
      <c r="AJ76" s="11"/>
      <c r="AK76" s="14"/>
      <c r="AL76" s="14"/>
      <c r="AM76" s="14"/>
      <c r="AN76" s="14"/>
      <c r="AO76" s="14"/>
      <c r="AQ76" s="11"/>
      <c r="AR76" s="14"/>
      <c r="AS76" s="14"/>
      <c r="AT76" s="14"/>
      <c r="AU76" s="14"/>
      <c r="AV76" s="14"/>
      <c r="AX76" s="11">
        <f>AX$75*$D$69/$D$47</f>
        <v>1.1460435270525151E-20</v>
      </c>
      <c r="AY76" s="14">
        <f t="shared" si="29"/>
        <v>3.438130581157545E-16</v>
      </c>
      <c r="AZ76" s="14">
        <f t="shared" si="32"/>
        <v>468.551690657861</v>
      </c>
      <c r="BA76" s="14">
        <f t="shared" si="33"/>
        <v>234.27584532893053</v>
      </c>
      <c r="BB76" s="14">
        <f t="shared" si="30"/>
        <v>7.0282753598679157</v>
      </c>
      <c r="BC76" s="14">
        <f t="shared" si="31"/>
        <v>475.57996601772891</v>
      </c>
      <c r="BD76" s="14">
        <f>AY76*(VLOOKUP(109,$A$24:$K$72,11,FALSE)-1)</f>
        <v>1.6689954277463812E-16</v>
      </c>
      <c r="BE76" s="11">
        <f>BE$75*$D$68/$D$47</f>
        <v>5.6102520150943616E-18</v>
      </c>
      <c r="BF76" s="14">
        <f t="shared" si="34"/>
        <v>1.6830756045283085E-13</v>
      </c>
      <c r="BG76" s="14">
        <f t="shared" si="37"/>
        <v>1028.4007335131275</v>
      </c>
      <c r="BH76" s="14">
        <f t="shared" si="38"/>
        <v>787.96064201775835</v>
      </c>
      <c r="BI76" s="14">
        <f t="shared" si="35"/>
        <v>23.638819260532749</v>
      </c>
      <c r="BJ76" s="14">
        <f t="shared" si="36"/>
        <v>1052.0395527736603</v>
      </c>
      <c r="BK76" s="14">
        <f>BF76*(VLOOKUP(108,$A$24:$K$72,11,FALSE)-1)</f>
        <v>1.2398567053948362E-13</v>
      </c>
      <c r="BL76" s="11">
        <f>BL$75*$D$67/$D$47</f>
        <v>1.5095544318127669E-15</v>
      </c>
      <c r="BM76" s="14">
        <f t="shared" si="39"/>
        <v>4.5286632954383006E-11</v>
      </c>
      <c r="BN76" s="14">
        <f t="shared" si="42"/>
        <v>2084.3790653109254</v>
      </c>
      <c r="BO76" s="14">
        <f t="shared" si="43"/>
        <v>1982.4502193244366</v>
      </c>
      <c r="BP76" s="14">
        <f t="shared" si="40"/>
        <v>59.473506579733098</v>
      </c>
      <c r="BQ76" s="14">
        <f t="shared" si="41"/>
        <v>2143.8525718906585</v>
      </c>
      <c r="BR76" s="14">
        <f>BM76*(VLOOKUP(107,$A$24:$K$72,11,FALSE)-1)</f>
        <v>4.1118157714960281E-11</v>
      </c>
      <c r="BS76" s="11">
        <f>BS$75*$D$66/$D$47</f>
        <v>2.3650053297018404E-13</v>
      </c>
      <c r="BT76" s="14">
        <f t="shared" si="44"/>
        <v>7.0950159891055211E-9</v>
      </c>
      <c r="BU76" s="14">
        <f t="shared" si="47"/>
        <v>3981.8973706408519</v>
      </c>
      <c r="BV76" s="14">
        <f t="shared" si="48"/>
        <v>4386.4196227024368</v>
      </c>
      <c r="BW76" s="14">
        <f t="shared" si="45"/>
        <v>131.5925886810731</v>
      </c>
      <c r="BX76" s="14">
        <f t="shared" si="46"/>
        <v>4113.4899593219252</v>
      </c>
      <c r="BY76" s="14">
        <f>BT76*(VLOOKUP(106,$A$24:$K$72,11,FALSE)-1)</f>
        <v>7.420357302075422E-9</v>
      </c>
      <c r="BZ76" s="11">
        <f>BZ$75*$D$65/$D$47</f>
        <v>2.2534802099197472E-11</v>
      </c>
      <c r="CA76" s="14">
        <f t="shared" si="49"/>
        <v>6.7604406297592418E-7</v>
      </c>
      <c r="CB76" s="14">
        <f t="shared" si="52"/>
        <v>7237.9194074994311</v>
      </c>
      <c r="CC76" s="14">
        <f t="shared" si="53"/>
        <v>8962.4045171889447</v>
      </c>
      <c r="CD76" s="14">
        <f t="shared" si="50"/>
        <v>268.87213551566833</v>
      </c>
      <c r="CE76" s="14">
        <f t="shared" si="51"/>
        <v>7506.7915430150997</v>
      </c>
      <c r="CF76" s="14">
        <f>CA76*(VLOOKUP(105,$A$24:$K$72,11,FALSE)-1)</f>
        <v>7.9118008532707342E-7</v>
      </c>
      <c r="CG76" s="11">
        <f>CG$75*$D$64/$D$47</f>
        <v>1.3299752213172791E-9</v>
      </c>
      <c r="CH76" s="14">
        <f t="shared" si="54"/>
        <v>3.9899256639518372E-5</v>
      </c>
      <c r="CI76" s="14">
        <f t="shared" si="57"/>
        <v>12356.602361006417</v>
      </c>
      <c r="CJ76" s="14">
        <f t="shared" si="58"/>
        <v>16940.066837134706</v>
      </c>
      <c r="CK76" s="14">
        <f t="shared" si="55"/>
        <v>508.20200511404113</v>
      </c>
      <c r="CL76" s="14">
        <f t="shared" si="56"/>
        <v>12864.804366120457</v>
      </c>
      <c r="CM76" s="14">
        <f>CH76*(VLOOKUP(104,$A$24:$K$72,11,FALSE)-1)</f>
        <v>5.1493822994771057E-5</v>
      </c>
      <c r="CN76" s="11">
        <f>CN$75*$D$63/$D$47</f>
        <v>5.0558304473384929E-8</v>
      </c>
      <c r="CO76" s="14">
        <f t="shared" si="59"/>
        <v>1.5167491342015478E-3</v>
      </c>
      <c r="CP76" s="14">
        <f t="shared" si="62"/>
        <v>20025.292512062431</v>
      </c>
      <c r="CQ76" s="14">
        <f t="shared" si="63"/>
        <v>30120.433567298434</v>
      </c>
      <c r="CR76" s="14">
        <f t="shared" si="60"/>
        <v>903.613007018953</v>
      </c>
      <c r="CS76" s="14">
        <f t="shared" si="61"/>
        <v>20928.905519081385</v>
      </c>
      <c r="CT76" s="14">
        <f>CO76*(VLOOKUP(103,$A$24:$K$72,11,FALSE)-1)</f>
        <v>2.1398740526740495E-3</v>
      </c>
      <c r="CU76" s="11">
        <f>CU$75*$D$62/$D$47</f>
        <v>1.285298138286913E-6</v>
      </c>
      <c r="CV76" s="14">
        <f t="shared" si="64"/>
        <v>3.8558944148607388E-2</v>
      </c>
      <c r="CW76" s="14">
        <f t="shared" si="67"/>
        <v>31155.184700490132</v>
      </c>
      <c r="CX76" s="14">
        <f t="shared" si="68"/>
        <v>51108.482374065308</v>
      </c>
      <c r="CY76" s="14">
        <f t="shared" si="65"/>
        <v>1533.2544712219592</v>
      </c>
      <c r="CZ76" s="14">
        <f t="shared" si="66"/>
        <v>32688.439171712093</v>
      </c>
      <c r="DA76" s="14">
        <f>CV76*(VLOOKUP(102,$A$24:$K$72,11,FALSE)-1)</f>
        <v>5.9123748515001559E-2</v>
      </c>
      <c r="DB76" s="11">
        <f>DB$75*$D$61/$D$47</f>
        <v>2.2528688929356405E-5</v>
      </c>
      <c r="DC76" s="14">
        <f t="shared" si="69"/>
        <v>0.6758606678806921</v>
      </c>
      <c r="DD76" s="14">
        <f t="shared" si="72"/>
        <v>46830.681985667783</v>
      </c>
      <c r="DE76" s="14">
        <f t="shared" si="73"/>
        <v>83416.997554605477</v>
      </c>
      <c r="DF76" s="14">
        <f t="shared" si="70"/>
        <v>2502.5099266381644</v>
      </c>
      <c r="DG76" s="14">
        <f t="shared" si="71"/>
        <v>49333.191912305949</v>
      </c>
      <c r="DH76" s="14">
        <f>DC76*(VLOOKUP(101,$A$24:$K$72,11,FALSE)-1)</f>
        <v>1.1213954114369722</v>
      </c>
      <c r="DI76" s="11">
        <f>DI$75*$D$60/$D$47</f>
        <v>2.7948162575077302E-4</v>
      </c>
      <c r="DJ76" s="14">
        <f t="shared" si="74"/>
        <v>8.3844487725231911</v>
      </c>
      <c r="DK76" s="14">
        <f t="shared" si="77"/>
        <v>68269.400073990997</v>
      </c>
      <c r="DL76" s="14">
        <f t="shared" si="78"/>
        <v>131582.71206799604</v>
      </c>
      <c r="DM76" s="14">
        <f t="shared" si="75"/>
        <v>3947.4813620398809</v>
      </c>
      <c r="DN76" s="14">
        <f t="shared" si="76"/>
        <v>72216.881436030875</v>
      </c>
      <c r="DO76" s="14">
        <f>DJ76*(VLOOKUP(100,$A$24:$K$72,11,FALSE)-1)</f>
        <v>15.00110716829394</v>
      </c>
      <c r="DP76" s="11">
        <f>DP$75*$D$59/$D$47</f>
        <v>2.5116994481415183E-3</v>
      </c>
      <c r="DQ76" s="14">
        <f t="shared" si="79"/>
        <v>75.350983444245543</v>
      </c>
      <c r="DR76" s="14">
        <f t="shared" si="82"/>
        <v>96768.524824487147</v>
      </c>
      <c r="DS76" s="14">
        <f t="shared" si="83"/>
        <v>201242.51181373943</v>
      </c>
      <c r="DT76" s="14">
        <f t="shared" si="80"/>
        <v>6037.2753544121824</v>
      </c>
      <c r="DU76" s="14">
        <f t="shared" si="81"/>
        <v>102805.80017889933</v>
      </c>
      <c r="DV76" s="14">
        <f>DQ76*(VLOOKUP(99,$A$24:$K$72,11,FALSE)-1)</f>
        <v>144.95320961149579</v>
      </c>
      <c r="DW76" s="11">
        <f>DW$75*$D$58/$D$47</f>
        <v>1.679139355528798E-2</v>
      </c>
      <c r="DX76" s="14">
        <f t="shared" si="84"/>
        <v>503.7418066586394</v>
      </c>
      <c r="DY76" s="14">
        <f t="shared" si="87"/>
        <v>133886.52688109025</v>
      </c>
      <c r="DZ76" s="14">
        <f t="shared" si="88"/>
        <v>299674.66053140361</v>
      </c>
      <c r="EA76" s="14">
        <f t="shared" si="85"/>
        <v>8990.2398159421082</v>
      </c>
      <c r="EB76" s="14">
        <f t="shared" si="86"/>
        <v>142876.76669703235</v>
      </c>
      <c r="EC76" s="14">
        <f>DX76*(VLOOKUP(98,$A$24:$K$72,11,FALSE)-1)</f>
        <v>1039.2487902556281</v>
      </c>
      <c r="ED76" s="11">
        <f>ED$75*$D$57/$D$47</f>
        <v>8.5594081428455884E-2</v>
      </c>
      <c r="EE76" s="14">
        <f t="shared" si="89"/>
        <v>2567.8224428536764</v>
      </c>
      <c r="EF76" s="14">
        <f t="shared" si="92"/>
        <v>180361.69165436568</v>
      </c>
      <c r="EG76" s="14">
        <f t="shared" si="93"/>
        <v>435066.6517839515</v>
      </c>
      <c r="EH76" s="14">
        <f t="shared" si="90"/>
        <v>13051.999553518544</v>
      </c>
      <c r="EI76" s="14">
        <f t="shared" si="91"/>
        <v>193413.69120788423</v>
      </c>
      <c r="EJ76" s="14">
        <f>EE76*(VLOOKUP(97,$A$24:$K$72,11,FALSE)-1)</f>
        <v>5688.280758583528</v>
      </c>
      <c r="EK76" s="11">
        <f>EK$75*$D$56/$D$47</f>
        <v>0.34145706669752585</v>
      </c>
      <c r="EL76" s="14">
        <f t="shared" si="94"/>
        <v>10243.712000925776</v>
      </c>
      <c r="EM76" s="14">
        <f t="shared" si="97"/>
        <v>236438.83505218141</v>
      </c>
      <c r="EN76" s="14">
        <f t="shared" si="98"/>
        <v>616456.17081892712</v>
      </c>
      <c r="EO76" s="14">
        <f t="shared" si="95"/>
        <v>18493.685124567812</v>
      </c>
      <c r="EP76" s="14">
        <f t="shared" si="96"/>
        <v>254932.52017674921</v>
      </c>
      <c r="EQ76" s="14">
        <f>EL76*(VLOOKUP(96,$A$24:$K$72,11,FALSE)-1)</f>
        <v>24433.206055755996</v>
      </c>
      <c r="ER76" s="11">
        <f>ER$75*$D$55/$D$47</f>
        <v>1.0941010246376117</v>
      </c>
      <c r="ES76" s="14">
        <f t="shared" si="99"/>
        <v>32823.03073912835</v>
      </c>
      <c r="ET76" s="14">
        <f t="shared" si="102"/>
        <v>301749.35233532719</v>
      </c>
      <c r="EU76" s="14">
        <f t="shared" si="103"/>
        <v>853373.53405026358</v>
      </c>
      <c r="EV76" s="14">
        <f t="shared" si="100"/>
        <v>25601.206021507907</v>
      </c>
      <c r="EW76" s="14">
        <f t="shared" si="101"/>
        <v>327350.5583568351</v>
      </c>
      <c r="EX76" s="14">
        <f>ES76*(VLOOKUP(95,$A$24:$K$72,11,FALSE)-1)</f>
        <v>84574.73579250148</v>
      </c>
      <c r="EY76" s="11">
        <f>EY$75*$D$54/$D$47</f>
        <v>2.8877202452829791</v>
      </c>
      <c r="EZ76" s="14">
        <f t="shared" si="104"/>
        <v>86631.607358489375</v>
      </c>
      <c r="FA76" s="14">
        <f t="shared" si="107"/>
        <v>375298.07954783301</v>
      </c>
      <c r="FB76" s="14">
        <f t="shared" si="108"/>
        <v>1155229.4351841023</v>
      </c>
      <c r="FC76" s="14">
        <f t="shared" si="105"/>
        <v>34656.883055523067</v>
      </c>
      <c r="FD76" s="14">
        <f t="shared" si="106"/>
        <v>409954.96260335611</v>
      </c>
      <c r="FE76" s="14">
        <f>EZ76*(VLOOKUP(94,$A$24:$K$72,11,FALSE)-1)</f>
        <v>241896.93462507139</v>
      </c>
      <c r="FF76" s="11">
        <f>FF$75*$D$53/$D$47</f>
        <v>6.4223783801133072</v>
      </c>
      <c r="FG76" s="14">
        <f t="shared" si="109"/>
        <v>192671.35140339923</v>
      </c>
      <c r="FH76" s="14">
        <f t="shared" si="112"/>
        <v>455414.20203190547</v>
      </c>
      <c r="FI76" s="14">
        <f t="shared" si="113"/>
        <v>1530563.257184251</v>
      </c>
      <c r="FJ76" s="14">
        <f t="shared" si="110"/>
        <v>45916.897715527528</v>
      </c>
      <c r="FK76" s="14">
        <f t="shared" si="111"/>
        <v>501331.09974743298</v>
      </c>
      <c r="FL76" s="14">
        <f>FG76*(VLOOKUP(93,$A$24:$K$72,11,FALSE)-1)</f>
        <v>584596.97922808875</v>
      </c>
      <c r="FM76" s="11">
        <f>FM$75*$D$52/$D$47</f>
        <v>12.224406356708201</v>
      </c>
      <c r="FN76" s="14">
        <f t="shared" si="114"/>
        <v>366732.19070124603</v>
      </c>
      <c r="FO76" s="14">
        <f t="shared" si="117"/>
        <v>540458.75172247482</v>
      </c>
      <c r="FP76" s="14">
        <f t="shared" si="118"/>
        <v>1986109.975882048</v>
      </c>
      <c r="FQ76" s="14">
        <f t="shared" si="115"/>
        <v>59583.299276461439</v>
      </c>
      <c r="FR76" s="14">
        <f t="shared" si="116"/>
        <v>600042.05099893629</v>
      </c>
      <c r="FS76" s="14">
        <f>FN76*(VLOOKUP(92,$A$24:$K$72,11,FALSE)-1)</f>
        <v>1210427.0803567052</v>
      </c>
      <c r="FT76" s="11">
        <f>FT$75*$D$51/$D$47</f>
        <v>20.181004985276182</v>
      </c>
      <c r="FU76" s="14">
        <f t="shared" si="119"/>
        <v>605430.14955828548</v>
      </c>
      <c r="FV76" s="14">
        <f t="shared" si="122"/>
        <v>631586.77203684382</v>
      </c>
      <c r="FW76" s="14">
        <f t="shared" si="123"/>
        <v>2526817.466531225</v>
      </c>
      <c r="FX76" s="14">
        <f t="shared" si="120"/>
        <v>75804.523995936746</v>
      </c>
      <c r="FY76" s="14">
        <f t="shared" si="121"/>
        <v>707391.29603278055</v>
      </c>
      <c r="FZ76" s="14">
        <f>FU76*(VLOOKUP(91,$A$24:$K$72,11,FALSE)-1)</f>
        <v>2163344.1936415257</v>
      </c>
      <c r="GA76" s="11">
        <f>GA$75*$D$50/$D$47</f>
        <v>29.334287688291273</v>
      </c>
      <c r="GB76" s="14">
        <f t="shared" si="124"/>
        <v>880028.63064873812</v>
      </c>
      <c r="GC76" s="14">
        <f t="shared" si="127"/>
        <v>728274.02141072717</v>
      </c>
      <c r="GD76" s="14">
        <f t="shared" si="128"/>
        <v>3158630.7059590584</v>
      </c>
      <c r="GE76" s="14">
        <f t="shared" si="125"/>
        <v>94758.92117877175</v>
      </c>
      <c r="GF76" s="14">
        <f t="shared" si="126"/>
        <v>823032.94258949894</v>
      </c>
      <c r="GG76" s="14">
        <f>GB76*(VLOOKUP(90,$A$24:$K$72,11,FALSE)-1)</f>
        <v>3388850.7385439291</v>
      </c>
      <c r="GH76" s="11">
        <f>GH$75*$D$49/$D$47</f>
        <v>38.242308884034216</v>
      </c>
      <c r="GI76" s="14">
        <f t="shared" si="129"/>
        <v>1147269.2665210264</v>
      </c>
      <c r="GJ76" s="14">
        <f t="shared" si="132"/>
        <v>827065.59489923588</v>
      </c>
      <c r="GK76" s="14">
        <f t="shared" si="133"/>
        <v>3886676.4837800818</v>
      </c>
      <c r="GL76" s="14">
        <f t="shared" si="130"/>
        <v>116600.29451340245</v>
      </c>
      <c r="GM76" s="14">
        <f t="shared" si="131"/>
        <v>943665.88941263827</v>
      </c>
      <c r="GN76" s="14">
        <f>GI76*(VLOOKUP(89,$A$24:$K$72,11,FALSE)-1)</f>
        <v>4757453.764588804</v>
      </c>
      <c r="GO76" s="11">
        <f>GO$75*$D$48/$D$47</f>
        <v>45.353190842524477</v>
      </c>
      <c r="GP76" s="14">
        <f t="shared" si="134"/>
        <v>1360595.7252757342</v>
      </c>
      <c r="GQ76" s="14">
        <f t="shared" si="137"/>
        <v>922989.29757934506</v>
      </c>
      <c r="GR76" s="14">
        <f t="shared" si="138"/>
        <v>4718619.6170550883</v>
      </c>
      <c r="GS76" s="14">
        <f t="shared" si="135"/>
        <v>141558.58851165263</v>
      </c>
      <c r="GT76" s="14">
        <f t="shared" si="136"/>
        <v>1064547.8860909976</v>
      </c>
      <c r="GU76" s="14">
        <f>GP76*(VLOOKUP(88,$A$24:$K$72,11,FALSE)-1)</f>
        <v>6098436.303184012</v>
      </c>
      <c r="GV76" s="11">
        <f>GV$75*$D$47/$D$47</f>
        <v>49.057900481128911</v>
      </c>
      <c r="GW76" s="14">
        <f t="shared" si="139"/>
        <v>1471737.0144338673</v>
      </c>
      <c r="GX76" s="14">
        <f t="shared" si="142"/>
        <v>1014095.7173696454</v>
      </c>
      <c r="GY76" s="14">
        <f t="shared" si="143"/>
        <v>5632559.502717942</v>
      </c>
      <c r="GZ76" s="14">
        <f t="shared" si="140"/>
        <v>168976.78508153826</v>
      </c>
      <c r="HA76" s="14">
        <f t="shared" si="141"/>
        <v>1183072.5024511837</v>
      </c>
      <c r="HB76" s="14">
        <f>GW76*(VLOOKUP(87,$A$24:$K$72,11,FALSE)-1)</f>
        <v>7118145.9050532058</v>
      </c>
      <c r="HC76" s="11">
        <f>HC$75*$D$46/$D$47</f>
        <v>49.076805062344341</v>
      </c>
      <c r="HD76" s="14">
        <f t="shared" si="144"/>
        <v>1472304.1518703303</v>
      </c>
      <c r="HE76" s="14">
        <f t="shared" ref="HE76:HE96" si="147">HF75/$G48</f>
        <v>1109334.6108471381</v>
      </c>
      <c r="HF76" s="14">
        <f t="shared" ref="HF76:HF96" si="148">HF75-HE76</f>
        <v>6649216.5248353705</v>
      </c>
      <c r="HG76" s="14">
        <f t="shared" si="145"/>
        <v>199476.49574506111</v>
      </c>
      <c r="HH76" s="14">
        <f t="shared" si="146"/>
        <v>1308811.1065921993</v>
      </c>
      <c r="HI76" s="14">
        <f>HD76*(VLOOKUP(86,$A$24:$K$72,11,FALSE)-1)</f>
        <v>7629587.4231341174</v>
      </c>
      <c r="HJ76" s="11">
        <f>($N75-$N76)+(HC75-HC76)+(GV75-GV76)+(GO75-GO76)+(GH75-GH76)+(GA75-GA76)+(FT75-FT76)+(FM75-FM76)+(FF75-FF76)+(EY75-EY76)+(ER75-ER76)+(EK75-EK76)+(ED75-ED76)+(DW75-DW76)+(DP75-DP76)+(DI75-DI76)+(DB75-DB76)+(CU75-CU76)+(CN75-CN76)+(CG75-CG76)+(BZ75-BZ76)+(BS75-BS76)+(BL75-BL76)+(BE75-BE76)+(AX75-AX76)+(AQ75-AQ76)+(AJ75-AJ76)+(AC75-AC76)+(V75-V76)</f>
        <v>45.679238461005205</v>
      </c>
      <c r="HK76" s="14">
        <f t="shared" ref="HK76:HK96" si="149">HJ76*$B$21</f>
        <v>1370377.1538301562</v>
      </c>
      <c r="HL76" s="14">
        <f>HK$46/$G47</f>
        <v>1202099.4175385716</v>
      </c>
      <c r="HM76" s="14">
        <f>HK$46-HL76</f>
        <v>7759971.9528132863</v>
      </c>
      <c r="HN76" s="14">
        <f t="shared" ref="HN76:HN96" si="150">$B$20*HM76</f>
        <v>232799.1585843986</v>
      </c>
      <c r="HO76" s="14">
        <f t="shared" ref="HO76:HO96" si="151">HL76+HN76</f>
        <v>1434898.5761229703</v>
      </c>
      <c r="HP76" s="14">
        <f>HK76*(VLOOKUP(85,$A$24:$K$72,11,FALSE)-1)</f>
        <v>7591694.2165217046</v>
      </c>
      <c r="HR76" s="15"/>
      <c r="HS76" s="15"/>
      <c r="HT76" s="15"/>
      <c r="HU76" s="14"/>
      <c r="HV76" s="14"/>
      <c r="NC76" s="15">
        <v>30</v>
      </c>
      <c r="ND76" s="15">
        <f>N76+V76+AC76+AJ76+AQ76+AX76+BE76+BL76+BS76+BZ76+CG76+CN76+CU76+DB76+DI76+DP76+DW76+ED76+EK76+ER76+EY76+FF76+FM76+FT76+GA76+GH76+GO76+GV76+HC76+HJ76</f>
        <v>299.99999999999994</v>
      </c>
      <c r="NE76" s="14">
        <f>P76+W76+AD76+AK76+AR76+AY76+BF76+BM76+BT76+CA76+CH76+CO76+CV76+DC76+DJ76+DQ76+DX76+EE76+EL76+ES76+EZ76+FG76+FN76+FU76+GB76+GI76+GP76+GW76+HD76+HK76</f>
        <v>8999999.9999999981</v>
      </c>
      <c r="NF76" s="14">
        <f>T76+AA76+AH76+AO76+AV76+BC76+BJ76+BQ76+BX76+CE76+CL76+CS76+CZ76+DG76+DN76+DU76+EB76+EI76+EP76+EW76+FD76+FK76+FR76+FY76+GF76+GM76+GT76+HA76+HH76+HO76</f>
        <v>10201451.625257663</v>
      </c>
      <c r="NH76" s="14">
        <f>U76+AB76+AI76+AP76+AW76+BD76+BK76+BR76+BY76+CF76+CM76+CT76+DA76+DH76+DO76+DV76+EC76+EJ76+EQ76+EX76+FE76+FL76+FS76+FZ76+GG76+GN76+GU76+HB76+HI76+HP76</f>
        <v>40900330.147302367</v>
      </c>
      <c r="NI76" s="14">
        <f>R76+Y76+AF76+AM76+AT76+BA76+BH76+BO76+BV76+CC76+CJ76+CQ76+CX76+DE76+DL76+DS76+DZ76+EG76+EN76+EU76+FB76+FI76+FP76+FW76+GD76+GK76+GR76+GY76+HF76+HM76</f>
        <v>41739730.654188395</v>
      </c>
    </row>
    <row r="77" spans="1:373" x14ac:dyDescent="0.25">
      <c r="A77" s="1"/>
      <c r="B77" s="3"/>
      <c r="BE77" s="11">
        <f>BE$76*$D$69/$D$47</f>
        <v>1.2848631379940235E-20</v>
      </c>
      <c r="BF77" s="14">
        <f t="shared" si="34"/>
        <v>3.8545894139820704E-16</v>
      </c>
      <c r="BG77" s="14">
        <f t="shared" si="37"/>
        <v>525.30709467850556</v>
      </c>
      <c r="BH77" s="14">
        <f t="shared" si="38"/>
        <v>262.65354733925278</v>
      </c>
      <c r="BI77" s="14">
        <f t="shared" si="35"/>
        <v>7.8796064201775833</v>
      </c>
      <c r="BJ77" s="14">
        <f t="shared" si="36"/>
        <v>533.1867010986831</v>
      </c>
      <c r="BK77" s="14">
        <f>BF77*(VLOOKUP(109,$A$24:$K$72,11,FALSE)-1)</f>
        <v>1.8711599097000341E-16</v>
      </c>
      <c r="BL77" s="11">
        <f>BL$76*$D$68/$D$47</f>
        <v>6.1232558056011353E-18</v>
      </c>
      <c r="BM77" s="14">
        <f t="shared" si="39"/>
        <v>1.8369767416803405E-13</v>
      </c>
      <c r="BN77" s="14">
        <f t="shared" si="42"/>
        <v>1122.4381266699336</v>
      </c>
      <c r="BO77" s="14">
        <f t="shared" si="43"/>
        <v>860.01209265450302</v>
      </c>
      <c r="BP77" s="14">
        <f t="shared" si="40"/>
        <v>25.800362779635091</v>
      </c>
      <c r="BQ77" s="14">
        <f t="shared" si="41"/>
        <v>1148.2384894495688</v>
      </c>
      <c r="BR77" s="14">
        <f>BM77*(VLOOKUP(108,$A$24:$K$72,11,FALSE)-1)</f>
        <v>1.3532297210528667E-13</v>
      </c>
      <c r="BS77" s="11">
        <f>BS$76*$D$67/$D$47</f>
        <v>1.6281822318574773E-15</v>
      </c>
      <c r="BT77" s="14">
        <f t="shared" si="44"/>
        <v>4.8845466955724316E-11</v>
      </c>
      <c r="BU77" s="14">
        <f t="shared" si="47"/>
        <v>2248.1792554638246</v>
      </c>
      <c r="BV77" s="14">
        <f t="shared" si="48"/>
        <v>2138.2403672386122</v>
      </c>
      <c r="BW77" s="14">
        <f t="shared" si="45"/>
        <v>64.147211017158369</v>
      </c>
      <c r="BX77" s="14">
        <f t="shared" si="46"/>
        <v>2312.3264664809831</v>
      </c>
      <c r="BY77" s="14">
        <f>BT77*(VLOOKUP(107,$A$24:$K$72,11,FALSE)-1)</f>
        <v>4.4349413566900424E-11</v>
      </c>
      <c r="BZ77" s="11">
        <f>BZ$76*$D$66/$D$47</f>
        <v>2.5329029083095822E-13</v>
      </c>
      <c r="CA77" s="14">
        <f t="shared" si="49"/>
        <v>7.598708724928746E-9</v>
      </c>
      <c r="CB77" s="14">
        <f t="shared" si="52"/>
        <v>4264.5821148986643</v>
      </c>
      <c r="CC77" s="14">
        <f t="shared" si="53"/>
        <v>4697.8224022902805</v>
      </c>
      <c r="CD77" s="14">
        <f t="shared" si="50"/>
        <v>140.93467206870841</v>
      </c>
      <c r="CE77" s="14">
        <f t="shared" si="51"/>
        <v>4405.5167869673724</v>
      </c>
      <c r="CF77" s="14">
        <f>CA77*(VLOOKUP(106,$A$24:$K$72,11,FALSE)-1)</f>
        <v>7.9471468224947289E-9</v>
      </c>
      <c r="CG77" s="11">
        <f>CG$76*$D$65/$D$47</f>
        <v>2.3563791409149385E-11</v>
      </c>
      <c r="CH77" s="14">
        <f t="shared" si="54"/>
        <v>7.069137422744816E-7</v>
      </c>
      <c r="CI77" s="14">
        <f t="shared" si="57"/>
        <v>7568.4189461164297</v>
      </c>
      <c r="CJ77" s="14">
        <f t="shared" si="58"/>
        <v>9371.6478910182759</v>
      </c>
      <c r="CK77" s="14">
        <f t="shared" si="55"/>
        <v>281.14943673054825</v>
      </c>
      <c r="CL77" s="14">
        <f t="shared" si="56"/>
        <v>7849.5683828469782</v>
      </c>
      <c r="CM77" s="14">
        <f>CH77*(VLOOKUP(105,$A$24:$K$72,11,FALSE)-1)</f>
        <v>8.2730713212627264E-7</v>
      </c>
      <c r="CN77" s="11">
        <f>CN$76*$D$64/$D$47</f>
        <v>1.3673714929471201E-9</v>
      </c>
      <c r="CO77" s="14">
        <f t="shared" si="59"/>
        <v>4.1021144788413605E-5</v>
      </c>
      <c r="CP77" s="14">
        <f t="shared" si="62"/>
        <v>12704.045569652402</v>
      </c>
      <c r="CQ77" s="14">
        <f t="shared" si="63"/>
        <v>17416.38799764603</v>
      </c>
      <c r="CR77" s="14">
        <f t="shared" si="60"/>
        <v>522.49163992938088</v>
      </c>
      <c r="CS77" s="14">
        <f t="shared" si="61"/>
        <v>13226.537209581784</v>
      </c>
      <c r="CT77" s="14">
        <f>CO77*(VLOOKUP(104,$A$24:$K$72,11,FALSE)-1)</f>
        <v>5.2941727407654869E-5</v>
      </c>
      <c r="CU77" s="11">
        <f>CU$76*$D$63/$D$47</f>
        <v>5.1528981930608313E-8</v>
      </c>
      <c r="CV77" s="14">
        <f t="shared" si="64"/>
        <v>1.5458694579182494E-3</v>
      </c>
      <c r="CW77" s="14">
        <f t="shared" si="67"/>
        <v>20409.761497291081</v>
      </c>
      <c r="CX77" s="14">
        <f t="shared" si="68"/>
        <v>30698.720876774227</v>
      </c>
      <c r="CY77" s="14">
        <f t="shared" si="65"/>
        <v>920.96162630322681</v>
      </c>
      <c r="CZ77" s="14">
        <f t="shared" si="66"/>
        <v>21330.723123594307</v>
      </c>
      <c r="DA77" s="14">
        <f>CV77*(VLOOKUP(103,$A$24:$K$72,11,FALSE)-1)</f>
        <v>2.1809578573202554E-3</v>
      </c>
      <c r="DB77" s="11">
        <f>DB$76*$D$62/$D$47</f>
        <v>1.3033179223732996E-6</v>
      </c>
      <c r="DC77" s="14">
        <f t="shared" si="69"/>
        <v>3.9099537671198989E-2</v>
      </c>
      <c r="DD77" s="14">
        <f t="shared" si="72"/>
        <v>31591.97806753148</v>
      </c>
      <c r="DE77" s="14">
        <f t="shared" si="73"/>
        <v>51825.019487073994</v>
      </c>
      <c r="DF77" s="14">
        <f t="shared" si="70"/>
        <v>1554.7505846122199</v>
      </c>
      <c r="DG77" s="14">
        <f t="shared" si="71"/>
        <v>33146.728652143698</v>
      </c>
      <c r="DH77" s="14">
        <f>DC77*(VLOOKUP(102,$A$24:$K$72,11,FALSE)-1)</f>
        <v>5.9952659061809126E-2</v>
      </c>
      <c r="DI77" s="11">
        <f>DI$76*$D$61/$D$47</f>
        <v>2.2759606920631153E-5</v>
      </c>
      <c r="DJ77" s="14">
        <f t="shared" si="74"/>
        <v>0.68278820761893455</v>
      </c>
      <c r="DK77" s="14">
        <f t="shared" si="77"/>
        <v>47310.69425127576</v>
      </c>
      <c r="DL77" s="14">
        <f t="shared" si="78"/>
        <v>84272.017816720268</v>
      </c>
      <c r="DM77" s="14">
        <f t="shared" si="75"/>
        <v>2528.1605345016078</v>
      </c>
      <c r="DN77" s="14">
        <f t="shared" si="76"/>
        <v>49838.854785777366</v>
      </c>
      <c r="DO77" s="14">
        <f>DJ77*(VLOOKUP(101,$A$24:$K$72,11,FALSE)-1)</f>
        <v>1.1328896611310286</v>
      </c>
      <c r="DP77" s="11">
        <f>DP$76*$D$60/$D$47</f>
        <v>2.8142601931529376E-4</v>
      </c>
      <c r="DQ77" s="14">
        <f t="shared" si="79"/>
        <v>8.4427805794588124</v>
      </c>
      <c r="DR77" s="14">
        <f t="shared" si="82"/>
        <v>68744.360035315665</v>
      </c>
      <c r="DS77" s="14">
        <f t="shared" si="83"/>
        <v>132498.15177842375</v>
      </c>
      <c r="DT77" s="14">
        <f t="shared" si="80"/>
        <v>3974.9445533527123</v>
      </c>
      <c r="DU77" s="14">
        <f t="shared" si="81"/>
        <v>72719.304588668383</v>
      </c>
      <c r="DV77" s="14">
        <f>DQ77*(VLOOKUP(100,$A$24:$K$72,11,FALSE)-1)</f>
        <v>15.105472012173612</v>
      </c>
      <c r="DW77" s="11">
        <f>DW$76*$D$59/$D$47</f>
        <v>2.5257208188314909E-3</v>
      </c>
      <c r="DX77" s="14">
        <f t="shared" si="84"/>
        <v>75.77162456494473</v>
      </c>
      <c r="DY77" s="14">
        <f t="shared" si="87"/>
        <v>97308.727737176392</v>
      </c>
      <c r="DZ77" s="14">
        <f t="shared" si="88"/>
        <v>202365.93279422721</v>
      </c>
      <c r="EA77" s="14">
        <f t="shared" si="85"/>
        <v>6070.9779838268159</v>
      </c>
      <c r="EB77" s="14">
        <f t="shared" si="86"/>
        <v>103379.70572100321</v>
      </c>
      <c r="EC77" s="14">
        <f>DX77*(VLOOKUP(99,$A$24:$K$72,11,FALSE)-1)</f>
        <v>145.76239985365157</v>
      </c>
      <c r="ED77" s="11">
        <f>ED$76*$D$58/$D$47</f>
        <v>1.6849698693013695E-2</v>
      </c>
      <c r="EE77" s="14">
        <f t="shared" si="89"/>
        <v>505.49096079041084</v>
      </c>
      <c r="EF77" s="14">
        <f t="shared" si="92"/>
        <v>134351.42411333701</v>
      </c>
      <c r="EG77" s="14">
        <f t="shared" si="93"/>
        <v>300715.22767061449</v>
      </c>
      <c r="EH77" s="14">
        <f t="shared" si="90"/>
        <v>9021.4568301184336</v>
      </c>
      <c r="EI77" s="14">
        <f t="shared" si="91"/>
        <v>143372.88094345544</v>
      </c>
      <c r="EJ77" s="14">
        <f>EE77*(VLOOKUP(98,$A$24:$K$72,11,FALSE)-1)</f>
        <v>1042.8573974654839</v>
      </c>
      <c r="EK77" s="11">
        <f>EK$76*$D$57/$D$47</f>
        <v>8.5737032173978572E-2</v>
      </c>
      <c r="EL77" s="14">
        <f t="shared" si="94"/>
        <v>2572.1109652193572</v>
      </c>
      <c r="EM77" s="14">
        <f t="shared" si="97"/>
        <v>180662.91386337182</v>
      </c>
      <c r="EN77" s="14">
        <f t="shared" si="98"/>
        <v>435793.25695555529</v>
      </c>
      <c r="EO77" s="14">
        <f t="shared" si="95"/>
        <v>13073.797708666658</v>
      </c>
      <c r="EP77" s="14">
        <f t="shared" si="96"/>
        <v>193736.71157203848</v>
      </c>
      <c r="EQ77" s="14">
        <f>EL77*(VLOOKUP(97,$A$24:$K$72,11,FALSE)-1)</f>
        <v>5697.7807609389656</v>
      </c>
      <c r="ER77" s="11">
        <f>ER$76*$D$56/$D$47</f>
        <v>0.34164864576325116</v>
      </c>
      <c r="ES77" s="14">
        <f t="shared" si="99"/>
        <v>10249.459372897534</v>
      </c>
      <c r="ET77" s="14">
        <f t="shared" si="102"/>
        <v>236571.49223089652</v>
      </c>
      <c r="EU77" s="14">
        <f t="shared" si="103"/>
        <v>616802.04181936709</v>
      </c>
      <c r="EV77" s="14">
        <f t="shared" si="100"/>
        <v>18504.061254581011</v>
      </c>
      <c r="EW77" s="14">
        <f t="shared" si="101"/>
        <v>255075.55348547752</v>
      </c>
      <c r="EX77" s="14">
        <f>ES77*(VLOOKUP(96,$A$24:$K$72,11,FALSE)-1)</f>
        <v>24446.914633628196</v>
      </c>
      <c r="EY77" s="11">
        <f>EY$76*$D$55/$D$47</f>
        <v>1.0942019447656752</v>
      </c>
      <c r="EZ77" s="14">
        <f t="shared" si="104"/>
        <v>32826.05834297026</v>
      </c>
      <c r="FA77" s="14">
        <f t="shared" si="107"/>
        <v>301777.18576441245</v>
      </c>
      <c r="FB77" s="14">
        <f t="shared" si="108"/>
        <v>853452.24941968988</v>
      </c>
      <c r="FC77" s="14">
        <f t="shared" si="105"/>
        <v>25603.567482590694</v>
      </c>
      <c r="FD77" s="14">
        <f t="shared" si="106"/>
        <v>327380.75324700313</v>
      </c>
      <c r="FE77" s="14">
        <f>EZ77*(VLOOKUP(95,$A$24:$K$72,11,FALSE)-1)</f>
        <v>84582.536985421451</v>
      </c>
      <c r="FF77" s="11">
        <f>FF$76*$D$54/$D$47</f>
        <v>2.8877876822954951</v>
      </c>
      <c r="FG77" s="14">
        <f t="shared" si="109"/>
        <v>86633.630468864852</v>
      </c>
      <c r="FH77" s="14">
        <f t="shared" si="112"/>
        <v>375306.84389449342</v>
      </c>
      <c r="FI77" s="14">
        <f t="shared" si="113"/>
        <v>1155256.4132897574</v>
      </c>
      <c r="FJ77" s="14">
        <f t="shared" si="110"/>
        <v>34657.692398692721</v>
      </c>
      <c r="FK77" s="14">
        <f t="shared" si="111"/>
        <v>409964.53629318613</v>
      </c>
      <c r="FL77" s="14">
        <f>FG77*(VLOOKUP(94,$A$24:$K$72,11,FALSE)-1)</f>
        <v>241902.58365102345</v>
      </c>
      <c r="FM77" s="11">
        <f>FM$76*$D$53/$D$47</f>
        <v>6.4228069208130423</v>
      </c>
      <c r="FN77" s="14">
        <f t="shared" si="114"/>
        <v>192684.20762439127</v>
      </c>
      <c r="FO77" s="14">
        <f t="shared" si="117"/>
        <v>455444.59007652948</v>
      </c>
      <c r="FP77" s="14">
        <f t="shared" si="118"/>
        <v>1530665.3858055186</v>
      </c>
      <c r="FQ77" s="14">
        <f t="shared" si="115"/>
        <v>45919.961574165558</v>
      </c>
      <c r="FR77" s="14">
        <f t="shared" si="116"/>
        <v>501364.55165069504</v>
      </c>
      <c r="FS77" s="14">
        <f>FN77*(VLOOKUP(93,$A$24:$K$72,11,FALSE)-1)</f>
        <v>584635.98714442656</v>
      </c>
      <c r="FT77" s="11">
        <f>FT$76*$D$52/$D$47</f>
        <v>12.225609840976622</v>
      </c>
      <c r="FU77" s="14">
        <f t="shared" si="119"/>
        <v>366768.29522929864</v>
      </c>
      <c r="FV77" s="14">
        <f t="shared" si="122"/>
        <v>540511.95950913092</v>
      </c>
      <c r="FW77" s="14">
        <f t="shared" si="123"/>
        <v>1986305.507022094</v>
      </c>
      <c r="FX77" s="14">
        <f t="shared" si="120"/>
        <v>59589.165210662817</v>
      </c>
      <c r="FY77" s="14">
        <f t="shared" si="121"/>
        <v>600101.12471979368</v>
      </c>
      <c r="FZ77" s="14">
        <f>FU77*(VLOOKUP(92,$A$24:$K$72,11,FALSE)-1)</f>
        <v>1210546.2460574168</v>
      </c>
      <c r="GA77" s="11">
        <f>GA$76*$D$51/$D$47</f>
        <v>20.1824520259972</v>
      </c>
      <c r="GB77" s="14">
        <f t="shared" si="124"/>
        <v>605473.56077991601</v>
      </c>
      <c r="GC77" s="14">
        <f t="shared" si="127"/>
        <v>631632.05876952352</v>
      </c>
      <c r="GD77" s="14">
        <f t="shared" si="128"/>
        <v>2526998.6471895347</v>
      </c>
      <c r="GE77" s="14">
        <f t="shared" si="125"/>
        <v>75809.95941568604</v>
      </c>
      <c r="GF77" s="14">
        <f t="shared" si="126"/>
        <v>707442.0181852096</v>
      </c>
      <c r="GG77" s="14">
        <f>GB77*(VLOOKUP(91,$A$24:$K$72,11,FALSE)-1)</f>
        <v>2163499.31213756</v>
      </c>
      <c r="GH77" s="11">
        <f>GH$76*$D$50/$D$47</f>
        <v>29.332565144623999</v>
      </c>
      <c r="GI77" s="14">
        <f t="shared" si="129"/>
        <v>879976.95433871995</v>
      </c>
      <c r="GJ77" s="14">
        <f t="shared" si="132"/>
        <v>728231.25630877737</v>
      </c>
      <c r="GK77" s="14">
        <f t="shared" si="133"/>
        <v>3158445.2274713046</v>
      </c>
      <c r="GL77" s="14">
        <f t="shared" si="130"/>
        <v>94753.356824139133</v>
      </c>
      <c r="GM77" s="14">
        <f t="shared" si="131"/>
        <v>822984.61313291651</v>
      </c>
      <c r="GN77" s="14">
        <f>GI77*(VLOOKUP(90,$A$24:$K$72,11,FALSE)-1)</f>
        <v>3388651.7412667139</v>
      </c>
      <c r="GO77" s="11">
        <f>GO$76*$D$49/$D$47</f>
        <v>38.281880062526007</v>
      </c>
      <c r="GP77" s="14">
        <f t="shared" si="134"/>
        <v>1148456.4018757802</v>
      </c>
      <c r="GQ77" s="14">
        <f t="shared" si="137"/>
        <v>827921.39992867247</v>
      </c>
      <c r="GR77" s="14">
        <f t="shared" si="138"/>
        <v>3890698.217126416</v>
      </c>
      <c r="GS77" s="14">
        <f t="shared" si="135"/>
        <v>116720.94651379247</v>
      </c>
      <c r="GT77" s="14">
        <f t="shared" si="136"/>
        <v>944642.34644246497</v>
      </c>
      <c r="GU77" s="14">
        <f>GP77*(VLOOKUP(89,$A$24:$K$72,11,FALSE)-1)</f>
        <v>4762376.5335736964</v>
      </c>
      <c r="GV77" s="11">
        <f>GV$76*$D$48/$D$47</f>
        <v>45.280442144081981</v>
      </c>
      <c r="GW77" s="14">
        <f t="shared" si="139"/>
        <v>1358413.2643224595</v>
      </c>
      <c r="GX77" s="14">
        <f t="shared" si="142"/>
        <v>921508.77837379684</v>
      </c>
      <c r="GY77" s="14">
        <f t="shared" si="143"/>
        <v>4711050.7243441455</v>
      </c>
      <c r="GZ77" s="14">
        <f t="shared" si="140"/>
        <v>141331.52173032437</v>
      </c>
      <c r="HA77" s="14">
        <f t="shared" si="141"/>
        <v>1062840.3001041212</v>
      </c>
      <c r="HB77" s="14">
        <f>GW77*(VLOOKUP(88,$A$24:$K$72,11,FALSE)-1)</f>
        <v>6088654.1181745483</v>
      </c>
      <c r="HC77" s="11">
        <f>HC$76*$D$47/$D$47</f>
        <v>49.076805062344341</v>
      </c>
      <c r="HD77" s="14">
        <f t="shared" si="144"/>
        <v>1472304.1518703303</v>
      </c>
      <c r="HE77" s="14">
        <f t="shared" si="147"/>
        <v>1014486.5016197078</v>
      </c>
      <c r="HF77" s="14">
        <f t="shared" si="148"/>
        <v>5634730.0232156627</v>
      </c>
      <c r="HG77" s="14">
        <f t="shared" si="145"/>
        <v>169041.90069646988</v>
      </c>
      <c r="HH77" s="14">
        <f t="shared" si="146"/>
        <v>1183528.4023161777</v>
      </c>
      <c r="HI77" s="14">
        <f>HD77*(VLOOKUP(87,$A$24:$K$72,11,FALSE)-1)</f>
        <v>7120888.8998826956</v>
      </c>
      <c r="HJ77" s="11">
        <f>HJ$76*$D$46/$D$47</f>
        <v>49.085792457559855</v>
      </c>
      <c r="HK77" s="14">
        <f t="shared" si="149"/>
        <v>1472573.7737267956</v>
      </c>
      <c r="HL77" s="14">
        <f t="shared" ref="HL77:HL96" si="152">HM76/$G48</f>
        <v>1109537.7623881013</v>
      </c>
      <c r="HM77" s="14">
        <f t="shared" ref="HM77:HM96" si="153">HM76-HL77</f>
        <v>6650434.1904251855</v>
      </c>
      <c r="HN77" s="14">
        <f t="shared" si="150"/>
        <v>199513.02571275557</v>
      </c>
      <c r="HO77" s="14">
        <f t="shared" si="151"/>
        <v>1309050.7881008568</v>
      </c>
      <c r="HP77" s="14">
        <f>HK77*(VLOOKUP(86,$A$24:$K$72,11,FALSE)-1)</f>
        <v>7630984.6232455727</v>
      </c>
      <c r="HQ77" s="11">
        <f>($N76-$N77)+(HJ76-HJ77)+(HC76-HC77)+(GV76-GV77)+(GO76-GO77)+(GH76-GH77)+(GA76-GA77)+(FT76-FT77)+(FM76-FM77)+(FF76-FF77)+(EY76-EY77)+(ER76-ER77)+(EK76-EK77)+(ED76-ED77)+(DW76-DW77)+(DP76-DP77)+(DI76-DI77)+(DB76-DB77)+(CU76-CU77)+(CN76-CN77)+(CG76-CG77)+(BZ76-BZ77)+(BS76-BS77)+(BL76-BL77)+(BE76-BE77)+(AX76-AX77)+(AQ76-AQ77)+(AJ76-AJ77)+(AC76-AC77)+(V76-V77)</f>
        <v>45.682590074702368</v>
      </c>
      <c r="HR77" s="14">
        <f t="shared" ref="HR77:HR96" si="154">HQ77*$B$21</f>
        <v>1370477.702241071</v>
      </c>
      <c r="HS77" s="14">
        <f>HR$46/$G47</f>
        <v>1202187.6189405427</v>
      </c>
      <c r="HT77" s="14">
        <f>HR$46-HS77</f>
        <v>7760541.3236951856</v>
      </c>
      <c r="HU77" s="14">
        <f t="shared" ref="HU77:HU96" si="155">$B$20*HT77</f>
        <v>232816.23971085556</v>
      </c>
      <c r="HV77" s="14">
        <f t="shared" ref="HV77:HV96" si="156">HS77+HU77</f>
        <v>1435003.8586513982</v>
      </c>
      <c r="HW77" s="14">
        <f>HR77*(VLOOKUP(85,$A$24:$K$72,11,FALSE)-1)</f>
        <v>7592251.24039465</v>
      </c>
      <c r="NC77" s="15">
        <v>31</v>
      </c>
      <c r="ND77" s="15">
        <f>N77+V77+AC77+AJ77+AQ77+AX77+BE77+BL77+BS77+BZ77+CG77+CN77+CU77+DB77+DI77+DP77+DW77+ED77+EK77+ER77+EY77+FF77+FM77+FT77+GA77+GH77+GO77+GV77+HC77+HJ77+HQ77</f>
        <v>299.99999999999994</v>
      </c>
      <c r="NE77" s="14">
        <f>P77+W77+AD77+AK77+AR77+AY77+BF77+BM77+BT77+CA77+CH77+CO77+CV77+DC77+DJ77+DQ77+DX77+EE77+EL77+ES77+EZ77+FG77+FN77+FU77+GB77+GI77+GP77+GW77+HD77+HK77+HR77</f>
        <v>9000000</v>
      </c>
      <c r="NF77" s="14">
        <f>T77+AA77+AH77+AO77+AV77+BC77+BJ77+BQ77+BX77+CE77+CL77+CS77+CZ77+DG77+DN77+DU77+EB77+EI77+EP77+EW77+FD77+FK77+FR77+FY77+GF77+GM77+GT77+HA77+HH77+HO77+HV77</f>
        <v>10206379.129752405</v>
      </c>
      <c r="NH77" s="14">
        <f>U77+AB77+AI77+AP77+AW77+BD77+BK77+BR77+BY77+CF77+CM77+CT77+DA77+DH77+DO77+DV77+EC77+EJ77+EQ77+EX77+FE77+FL77+FS77+FZ77+GG77+GN77+GU77+HB77+HI77+HP77+HW77</f>
        <v>40900323.438254684</v>
      </c>
      <c r="NI77" s="14">
        <f>R77+Y77+AF77+AM77+AT77+BA77+BH77+BO77+BV77+CC77+CJ77+CQ77+CX77+DE77+DL77+DS77+DZ77+EG77+EN77+EU77+FB77+FI77+FP77+FW77+GD77+GK77+GR77+GY77+HF77+HM77+HT77</f>
        <v>41748295.042501435</v>
      </c>
    </row>
    <row r="78" spans="1:373" x14ac:dyDescent="0.25">
      <c r="A78" s="1"/>
      <c r="B78" s="3"/>
      <c r="BL78" s="11">
        <f>BL$77*$D$69/$D$47</f>
        <v>1.4023515606709279E-20</v>
      </c>
      <c r="BM78" s="14">
        <f t="shared" si="39"/>
        <v>4.2070546820127838E-16</v>
      </c>
      <c r="BN78" s="14">
        <f t="shared" si="42"/>
        <v>573.34139510300201</v>
      </c>
      <c r="BO78" s="14">
        <f t="shared" si="43"/>
        <v>286.67069755150101</v>
      </c>
      <c r="BP78" s="14">
        <f t="shared" si="40"/>
        <v>8.6001209265450296</v>
      </c>
      <c r="BQ78" s="14">
        <f t="shared" si="41"/>
        <v>581.94151602954707</v>
      </c>
      <c r="BR78" s="14">
        <f>BM78*(VLOOKUP(109,$A$24:$K$72,11,FALSE)-1)</f>
        <v>2.0422595543751378E-16</v>
      </c>
      <c r="BS78" s="11">
        <f>BS$77*$D$68/$D$47</f>
        <v>6.6044496930300047E-18</v>
      </c>
      <c r="BT78" s="14">
        <f t="shared" si="44"/>
        <v>1.9813349079090013E-13</v>
      </c>
      <c r="BU78" s="14">
        <f t="shared" si="47"/>
        <v>1210.64452906727</v>
      </c>
      <c r="BV78" s="14">
        <f t="shared" si="48"/>
        <v>927.59583817134217</v>
      </c>
      <c r="BW78" s="14">
        <f t="shared" si="45"/>
        <v>27.827875145140265</v>
      </c>
      <c r="BX78" s="14">
        <f t="shared" si="46"/>
        <v>1238.4724042124103</v>
      </c>
      <c r="BY78" s="14">
        <f>BT78*(VLOOKUP(108,$A$24:$K$72,11,FALSE)-1)</f>
        <v>1.4595727991032843E-13</v>
      </c>
      <c r="BZ78" s="11">
        <f>BZ$77*$D$67/$D$47</f>
        <v>1.7437709160891037E-15</v>
      </c>
      <c r="CA78" s="14">
        <f t="shared" si="49"/>
        <v>5.231312748267311E-11</v>
      </c>
      <c r="CB78" s="14">
        <f t="shared" si="52"/>
        <v>2407.7830620717855</v>
      </c>
      <c r="CC78" s="14">
        <f t="shared" si="53"/>
        <v>2290.039340218495</v>
      </c>
      <c r="CD78" s="14">
        <f t="shared" si="50"/>
        <v>68.701180206554852</v>
      </c>
      <c r="CE78" s="14">
        <f t="shared" si="51"/>
        <v>2476.4842422783404</v>
      </c>
      <c r="CF78" s="14">
        <f>CA78*(VLOOKUP(107,$A$24:$K$72,11,FALSE)-1)</f>
        <v>4.7497888142006206E-11</v>
      </c>
      <c r="CG78" s="11">
        <f>CG$77*$D$66/$D$47</f>
        <v>2.6485609027451974E-13</v>
      </c>
      <c r="CH78" s="14">
        <f t="shared" si="54"/>
        <v>7.9456827082355924E-9</v>
      </c>
      <c r="CI78" s="14">
        <f t="shared" si="57"/>
        <v>4459.3124430518001</v>
      </c>
      <c r="CJ78" s="14">
        <f t="shared" si="58"/>
        <v>4912.3354479664758</v>
      </c>
      <c r="CK78" s="14">
        <f t="shared" si="55"/>
        <v>147.37006343899426</v>
      </c>
      <c r="CL78" s="14">
        <f t="shared" si="56"/>
        <v>4606.6825064907944</v>
      </c>
      <c r="CM78" s="14">
        <f>CH78*(VLOOKUP(106,$A$24:$K$72,11,FALSE)-1)</f>
        <v>8.3100312662527976E-9</v>
      </c>
      <c r="CN78" s="11">
        <f>CN$77*$D$65/$D$47</f>
        <v>2.4226358598403239E-11</v>
      </c>
      <c r="CO78" s="14">
        <f t="shared" si="59"/>
        <v>7.2679075795209722E-7</v>
      </c>
      <c r="CP78" s="14">
        <f t="shared" si="62"/>
        <v>7781.2279114120965</v>
      </c>
      <c r="CQ78" s="14">
        <f t="shared" si="63"/>
        <v>9635.1600862339328</v>
      </c>
      <c r="CR78" s="14">
        <f t="shared" si="60"/>
        <v>289.05480258701795</v>
      </c>
      <c r="CS78" s="14">
        <f t="shared" si="61"/>
        <v>8070.2827139991141</v>
      </c>
      <c r="CT78" s="14">
        <f>CO78*(VLOOKUP(105,$A$24:$K$72,11,FALSE)-1)</f>
        <v>8.5056937170668829E-7</v>
      </c>
      <c r="CU78" s="11">
        <f>CU$77*$D$64/$D$47</f>
        <v>1.3936238900098492E-9</v>
      </c>
      <c r="CV78" s="14">
        <f t="shared" si="64"/>
        <v>4.1808716700295476E-5</v>
      </c>
      <c r="CW78" s="14">
        <f t="shared" si="67"/>
        <v>12947.952693881462</v>
      </c>
      <c r="CX78" s="14">
        <f t="shared" si="68"/>
        <v>17750.768182892767</v>
      </c>
      <c r="CY78" s="14">
        <f t="shared" si="65"/>
        <v>532.52304548678296</v>
      </c>
      <c r="CZ78" s="14">
        <f t="shared" si="66"/>
        <v>13480.475739368245</v>
      </c>
      <c r="DA78" s="14">
        <f>CV78*(VLOOKUP(104,$A$24:$K$72,11,FALSE)-1)</f>
        <v>5.3958164605783784E-5</v>
      </c>
      <c r="DB78" s="11">
        <f>DB$77*$D$63/$D$47</f>
        <v>5.2251414416053652E-8</v>
      </c>
      <c r="DC78" s="14">
        <f t="shared" si="69"/>
        <v>1.5675424324816097E-3</v>
      </c>
      <c r="DD78" s="14">
        <f t="shared" si="72"/>
        <v>20695.904832039872</v>
      </c>
      <c r="DE78" s="14">
        <f t="shared" si="73"/>
        <v>31129.114655034122</v>
      </c>
      <c r="DF78" s="14">
        <f t="shared" si="70"/>
        <v>933.87343965102366</v>
      </c>
      <c r="DG78" s="14">
        <f t="shared" si="71"/>
        <v>21629.778271690895</v>
      </c>
      <c r="DH78" s="14">
        <f>DC78*(VLOOKUP(103,$A$24:$K$72,11,FALSE)-1)</f>
        <v>2.2115347239006432E-3</v>
      </c>
      <c r="DI78" s="11">
        <f>DI$77*$D$62/$D$47</f>
        <v>1.3166768691620161E-6</v>
      </c>
      <c r="DJ78" s="14">
        <f t="shared" si="74"/>
        <v>3.9500306074860485E-2</v>
      </c>
      <c r="DK78" s="14">
        <f t="shared" si="77"/>
        <v>31915.794341910612</v>
      </c>
      <c r="DL78" s="14">
        <f t="shared" si="78"/>
        <v>52356.223474809653</v>
      </c>
      <c r="DM78" s="14">
        <f t="shared" si="75"/>
        <v>1570.6867042442896</v>
      </c>
      <c r="DN78" s="14">
        <f t="shared" si="76"/>
        <v>33486.481046154899</v>
      </c>
      <c r="DO78" s="14">
        <f>DJ78*(VLOOKUP(102,$A$24:$K$72,11,FALSE)-1)</f>
        <v>6.0567170969072978E-2</v>
      </c>
      <c r="DP78" s="11">
        <f>DP$77*$D$61/$D$47</f>
        <v>2.2917948754762888E-5</v>
      </c>
      <c r="DQ78" s="14">
        <f t="shared" si="79"/>
        <v>0.68753846264288665</v>
      </c>
      <c r="DR78" s="14">
        <f t="shared" si="82"/>
        <v>47639.841504473741</v>
      </c>
      <c r="DS78" s="14">
        <f t="shared" si="83"/>
        <v>84858.310273950017</v>
      </c>
      <c r="DT78" s="14">
        <f t="shared" si="80"/>
        <v>2545.7493082185006</v>
      </c>
      <c r="DU78" s="14">
        <f t="shared" si="81"/>
        <v>50185.590812692244</v>
      </c>
      <c r="DV78" s="14">
        <f>DQ78*(VLOOKUP(101,$A$24:$K$72,11,FALSE)-1)</f>
        <v>1.1407713362161005</v>
      </c>
      <c r="DW78" s="11">
        <f>DW$77*$D$60/$D$47</f>
        <v>2.829970586136234E-4</v>
      </c>
      <c r="DX78" s="14">
        <f t="shared" si="84"/>
        <v>8.4899117584087023</v>
      </c>
      <c r="DY78" s="14">
        <f t="shared" si="87"/>
        <v>69128.120184490093</v>
      </c>
      <c r="DZ78" s="14">
        <f t="shared" si="88"/>
        <v>133237.8126097371</v>
      </c>
      <c r="EA78" s="14">
        <f t="shared" si="85"/>
        <v>3997.1343782921126</v>
      </c>
      <c r="EB78" s="14">
        <f t="shared" si="86"/>
        <v>73125.254562782211</v>
      </c>
      <c r="EC78" s="14">
        <f>DX78*(VLOOKUP(100,$A$24:$K$72,11,FALSE)-1)</f>
        <v>15.189797158116697</v>
      </c>
      <c r="ED78" s="11">
        <f>ED$77*$D$59/$D$47</f>
        <v>2.5344909366727402E-3</v>
      </c>
      <c r="EE78" s="14">
        <f t="shared" si="89"/>
        <v>76.034728100182207</v>
      </c>
      <c r="EF78" s="14">
        <f t="shared" si="92"/>
        <v>97646.615045573344</v>
      </c>
      <c r="EG78" s="14">
        <f t="shared" si="93"/>
        <v>203068.61262504116</v>
      </c>
      <c r="EH78" s="14">
        <f t="shared" si="90"/>
        <v>6092.0583787512351</v>
      </c>
      <c r="EI78" s="14">
        <f t="shared" si="91"/>
        <v>103738.67342432457</v>
      </c>
      <c r="EJ78" s="14">
        <f>EE78*(VLOOKUP(99,$A$24:$K$72,11,FALSE)-1)</f>
        <v>146.26853394971181</v>
      </c>
      <c r="EK78" s="11">
        <f>EK$77*$D$58/$D$47</f>
        <v>1.6877839388606208E-2</v>
      </c>
      <c r="EL78" s="14">
        <f t="shared" si="94"/>
        <v>506.33518165818623</v>
      </c>
      <c r="EM78" s="14">
        <f t="shared" si="97"/>
        <v>134575.80453682569</v>
      </c>
      <c r="EN78" s="14">
        <f t="shared" si="98"/>
        <v>301217.4524187296</v>
      </c>
      <c r="EO78" s="14">
        <f t="shared" si="95"/>
        <v>9036.5235725618877</v>
      </c>
      <c r="EP78" s="14">
        <f t="shared" si="96"/>
        <v>143612.32810938757</v>
      </c>
      <c r="EQ78" s="14">
        <f>EL78*(VLOOKUP(98,$A$24:$K$72,11,FALSE)-1)</f>
        <v>1044.599074459426</v>
      </c>
      <c r="ER78" s="11">
        <f>ER$77*$D$57/$D$47</f>
        <v>8.5785136085491695E-2</v>
      </c>
      <c r="ES78" s="14">
        <f t="shared" si="99"/>
        <v>2573.5540825647508</v>
      </c>
      <c r="ET78" s="14">
        <f t="shared" si="102"/>
        <v>180764.27721362805</v>
      </c>
      <c r="EU78" s="14">
        <f t="shared" si="103"/>
        <v>436037.76460573904</v>
      </c>
      <c r="EV78" s="14">
        <f t="shared" si="100"/>
        <v>13081.13293817217</v>
      </c>
      <c r="EW78" s="14">
        <f t="shared" si="101"/>
        <v>193845.41015180023</v>
      </c>
      <c r="EX78" s="14">
        <f>ES78*(VLOOKUP(97,$A$24:$K$72,11,FALSE)-1)</f>
        <v>5700.9775772340436</v>
      </c>
      <c r="EY78" s="11">
        <f>EY$77*$D$56/$D$47</f>
        <v>0.34168015951226222</v>
      </c>
      <c r="EZ78" s="14">
        <f t="shared" si="104"/>
        <v>10250.404785367866</v>
      </c>
      <c r="FA78" s="14">
        <f t="shared" si="107"/>
        <v>236593.31363929936</v>
      </c>
      <c r="FB78" s="14">
        <f t="shared" si="108"/>
        <v>616858.93578039051</v>
      </c>
      <c r="FC78" s="14">
        <f t="shared" si="105"/>
        <v>18505.768073411713</v>
      </c>
      <c r="FD78" s="14">
        <f t="shared" si="106"/>
        <v>255099.08171271108</v>
      </c>
      <c r="FE78" s="14">
        <f>EZ78*(VLOOKUP(96,$A$24:$K$72,11,FALSE)-1)</f>
        <v>24449.169622610039</v>
      </c>
      <c r="FF78" s="11">
        <f>FF$77*$D$55/$D$47</f>
        <v>1.0942274976946216</v>
      </c>
      <c r="FG78" s="14">
        <f t="shared" si="109"/>
        <v>32826.824930838644</v>
      </c>
      <c r="FH78" s="14">
        <f t="shared" si="112"/>
        <v>301784.23317556205</v>
      </c>
      <c r="FI78" s="14">
        <f t="shared" si="113"/>
        <v>853472.18011419545</v>
      </c>
      <c r="FJ78" s="14">
        <f t="shared" si="110"/>
        <v>25604.165403425861</v>
      </c>
      <c r="FK78" s="14">
        <f t="shared" si="111"/>
        <v>327388.39857898792</v>
      </c>
      <c r="FL78" s="14">
        <f>FG78*(VLOOKUP(95,$A$24:$K$72,11,FALSE)-1)</f>
        <v>84584.51224379857</v>
      </c>
      <c r="FM78" s="11">
        <f>FM$77*$D$54/$D$47</f>
        <v>2.8879803733019749</v>
      </c>
      <c r="FN78" s="14">
        <f t="shared" si="114"/>
        <v>86639.41119905925</v>
      </c>
      <c r="FO78" s="14">
        <f t="shared" si="117"/>
        <v>375331.88668206806</v>
      </c>
      <c r="FP78" s="14">
        <f t="shared" si="118"/>
        <v>1155333.4991234506</v>
      </c>
      <c r="FQ78" s="14">
        <f t="shared" si="115"/>
        <v>34660.004973703515</v>
      </c>
      <c r="FR78" s="14">
        <f t="shared" si="116"/>
        <v>409991.89165577159</v>
      </c>
      <c r="FS78" s="14">
        <f>FN78*(VLOOKUP(94,$A$24:$K$72,11,FALSE)-1)</f>
        <v>241918.72488349688</v>
      </c>
      <c r="FT78" s="11">
        <f>FT$77*$D$53/$D$47</f>
        <v>6.4234392416687758</v>
      </c>
      <c r="FU78" s="14">
        <f t="shared" si="119"/>
        <v>192703.17725006328</v>
      </c>
      <c r="FV78" s="14">
        <f t="shared" si="122"/>
        <v>455489.42827834451</v>
      </c>
      <c r="FW78" s="14">
        <f t="shared" si="123"/>
        <v>1530816.0787437495</v>
      </c>
      <c r="FX78" s="14">
        <f t="shared" si="120"/>
        <v>45924.482362312483</v>
      </c>
      <c r="FY78" s="14">
        <f t="shared" si="121"/>
        <v>501413.91064065701</v>
      </c>
      <c r="FZ78" s="14">
        <f>FU78*(VLOOKUP(93,$A$24:$K$72,11,FALSE)-1)</f>
        <v>584693.54414905736</v>
      </c>
      <c r="GA78" s="11">
        <f>GA$77*$D$52/$D$47</f>
        <v>12.226486455163679</v>
      </c>
      <c r="GB78" s="14">
        <f t="shared" si="124"/>
        <v>366794.59365491034</v>
      </c>
      <c r="GC78" s="14">
        <f t="shared" si="127"/>
        <v>540550.71589495824</v>
      </c>
      <c r="GD78" s="14">
        <f t="shared" si="128"/>
        <v>1986447.9312945765</v>
      </c>
      <c r="GE78" s="14">
        <f t="shared" si="125"/>
        <v>59593.437938837291</v>
      </c>
      <c r="GF78" s="14">
        <f t="shared" si="126"/>
        <v>600144.15383379557</v>
      </c>
      <c r="GG78" s="14">
        <f>GB78*(VLOOKUP(92,$A$24:$K$72,11,FALSE)-1)</f>
        <v>1210633.0459820982</v>
      </c>
      <c r="GH78" s="11">
        <f>GH$77*$D$51/$D$47</f>
        <v>20.181266888819273</v>
      </c>
      <c r="GI78" s="14">
        <f t="shared" si="129"/>
        <v>605438.00666457822</v>
      </c>
      <c r="GJ78" s="14">
        <f t="shared" si="132"/>
        <v>631594.96859660256</v>
      </c>
      <c r="GK78" s="14">
        <f t="shared" si="133"/>
        <v>2526850.2588747023</v>
      </c>
      <c r="GL78" s="14">
        <f t="shared" si="130"/>
        <v>75805.507766241062</v>
      </c>
      <c r="GM78" s="14">
        <f t="shared" si="131"/>
        <v>707400.47636284365</v>
      </c>
      <c r="GN78" s="14">
        <f>GI78*(VLOOKUP(91,$A$24:$K$72,11,FALSE)-1)</f>
        <v>2163372.268928641</v>
      </c>
      <c r="GO78" s="11">
        <f>GO$77*$D$50/$D$47</f>
        <v>29.362916977576337</v>
      </c>
      <c r="GP78" s="14">
        <f t="shared" si="134"/>
        <v>880887.50932729011</v>
      </c>
      <c r="GQ78" s="14">
        <f t="shared" si="137"/>
        <v>728984.79263719637</v>
      </c>
      <c r="GR78" s="14">
        <f t="shared" si="138"/>
        <v>3161713.4244892197</v>
      </c>
      <c r="GS78" s="14">
        <f t="shared" si="135"/>
        <v>94851.40273467658</v>
      </c>
      <c r="GT78" s="14">
        <f t="shared" si="136"/>
        <v>823836.19537187298</v>
      </c>
      <c r="GU78" s="14">
        <f>GP78*(VLOOKUP(90,$A$24:$K$72,11,FALSE)-1)</f>
        <v>3392158.1441700221</v>
      </c>
      <c r="GV78" s="11">
        <f>GV$77*$D$49/$D$47</f>
        <v>38.22047408652422</v>
      </c>
      <c r="GW78" s="14">
        <f t="shared" si="139"/>
        <v>1146614.2225957266</v>
      </c>
      <c r="GX78" s="14">
        <f t="shared" si="142"/>
        <v>826593.37420129578</v>
      </c>
      <c r="GY78" s="14">
        <f t="shared" si="143"/>
        <v>3884457.3501428496</v>
      </c>
      <c r="GZ78" s="14">
        <f t="shared" si="140"/>
        <v>116533.72050428549</v>
      </c>
      <c r="HA78" s="14">
        <f t="shared" si="141"/>
        <v>943127.09470558132</v>
      </c>
      <c r="HB78" s="14">
        <f>GW78*(VLOOKUP(89,$A$24:$K$72,11,FALSE)-1)</f>
        <v>4754737.4526650673</v>
      </c>
      <c r="HC78" s="11">
        <f>HC$77*$D$48/$D$47</f>
        <v>45.29789107254382</v>
      </c>
      <c r="HD78" s="14">
        <f t="shared" si="144"/>
        <v>1358936.7321763146</v>
      </c>
      <c r="HE78" s="14">
        <f t="shared" si="147"/>
        <v>921863.88402182853</v>
      </c>
      <c r="HF78" s="14">
        <f t="shared" si="148"/>
        <v>4712866.1391938338</v>
      </c>
      <c r="HG78" s="14">
        <f t="shared" si="145"/>
        <v>141385.98417581501</v>
      </c>
      <c r="HH78" s="14">
        <f t="shared" si="146"/>
        <v>1063249.8681976437</v>
      </c>
      <c r="HI78" s="14">
        <f>HD78*(VLOOKUP(88,$A$24:$K$72,11,FALSE)-1)</f>
        <v>6091000.395841158</v>
      </c>
      <c r="HJ78" s="11">
        <f>HJ$77*$D$47/$D$47</f>
        <v>49.085792457559855</v>
      </c>
      <c r="HK78" s="14">
        <f t="shared" si="149"/>
        <v>1472573.7737267956</v>
      </c>
      <c r="HL78" s="14">
        <f t="shared" si="152"/>
        <v>1014672.2837039188</v>
      </c>
      <c r="HM78" s="14">
        <f t="shared" si="153"/>
        <v>5635761.9067212669</v>
      </c>
      <c r="HN78" s="14">
        <f t="shared" si="150"/>
        <v>169072.85720163799</v>
      </c>
      <c r="HO78" s="14">
        <f t="shared" si="151"/>
        <v>1183745.1409055567</v>
      </c>
      <c r="HP78" s="14">
        <f>HK78*(VLOOKUP(87,$A$24:$K$72,11,FALSE)-1)</f>
        <v>7122192.9424491925</v>
      </c>
      <c r="HQ78" s="11">
        <f>HQ$77*$D$46/$D$47</f>
        <v>49.089394019667274</v>
      </c>
      <c r="HR78" s="14">
        <f t="shared" si="154"/>
        <v>1472681.8205900183</v>
      </c>
      <c r="HS78" s="14">
        <f t="shared" ref="HS78:HS96" si="157">HT77/$G48</f>
        <v>1109619.1722821207</v>
      </c>
      <c r="HT78" s="14">
        <f t="shared" ref="HT78:HT96" si="158">HT77-HS78</f>
        <v>6650922.1514130645</v>
      </c>
      <c r="HU78" s="14">
        <f t="shared" si="155"/>
        <v>199527.66454239193</v>
      </c>
      <c r="HV78" s="14">
        <f t="shared" si="156"/>
        <v>1309146.8368245126</v>
      </c>
      <c r="HW78" s="14">
        <f>HR78*(VLOOKUP(86,$A$24:$K$72,11,FALSE)-1)</f>
        <v>7631544.5299657341</v>
      </c>
      <c r="HX78" s="11">
        <f>($N77-$N78)+(HQ77-HQ78)+(HJ77-HJ78)+(HC77-HC78)+(GV77-GV78)+(GO77-GO78)+(GH77-GH78)+(GA77-GA78)+(FT77-FT78)+(FM77-FM78)+(FF77-FF78)+(EY77-EY78)+(ER77-ER78)+(EK77-EK78)+(ED77-ED78)+(DW77-DW78)+(DP77-DP78)+(DI77-DI78)+(DB77-DB78)+(CU77-CU78)+(CN77-CN78)+(CG77-CG78)+(BZ77-BZ78)+(BS77-BS78)+(BL77-BL78)+(BE77-BE78)+(AX77-AX78)+(AQ77-AQ78)+(AJ77-AJ78)+(AC77-AC78)+(V77-V78)</f>
        <v>45.682946018203353</v>
      </c>
      <c r="HY78" s="14">
        <f t="shared" ref="HY78:HY96" si="159">HX78*$B$21</f>
        <v>1370488.3805461007</v>
      </c>
      <c r="HZ78" s="14">
        <f>HY$46/$G47</f>
        <v>1202196.9859853892</v>
      </c>
      <c r="IA78" s="14">
        <f>HY$46-HZ78</f>
        <v>7760601.7912440673</v>
      </c>
      <c r="IB78" s="14">
        <f t="shared" ref="IB78:IB96" si="160">$B$20*IA78</f>
        <v>232818.05373732201</v>
      </c>
      <c r="IC78" s="14">
        <f t="shared" ref="IC78:IC96" si="161">HZ78+IB78</f>
        <v>1435015.0397227113</v>
      </c>
      <c r="ID78" s="14">
        <f>HY78*(VLOOKUP(85,$A$24:$K$72,11,FALSE)-1)</f>
        <v>7592310.3966833474</v>
      </c>
      <c r="NC78" s="15">
        <v>32</v>
      </c>
      <c r="ND78" s="15">
        <f>N78+V78+AC78+AJ78+AQ78+AX78+BE78+BL78+BS78+BZ78+CG78+CN78+CU78+DB78+DI78+DP78+DW78+ED78+EK78+ER78+EY78+FF78+FM78+FT78+GA78+GH78+GO78+GV78+HC78+HJ78+HQ78+HX78</f>
        <v>300</v>
      </c>
      <c r="NE78" s="14">
        <f>P78+W78+AD78+AK78+AR78+AY78+BF78+BM78+BT78+CA78+CH78+CO78+CV78+DC78+DJ78+DQ78+DX78+EE78+EL78+ES78+EZ78+FG78+FN78+FU78+GB78+GI78+GP78+GW78+HD78+HK78+HR78+HY78</f>
        <v>9000000</v>
      </c>
      <c r="NF78" s="14">
        <f>T78+AA78+AH78+AO78+AV78+BC78+BJ78+BQ78+BX78+CE78+CL78+CS78+CZ78+DG78+DN78+DU78+EB78+EI78+EP78+EW78+FD78+FK78+FR78+FY78+GF78+GM78+GT78+HA78+HH78+HO78+HV78+IC78</f>
        <v>10209635.944013856</v>
      </c>
      <c r="NH78" s="14">
        <f>U78+AB78+AI78+AP78+AW78+BD78+BK78+BR78+BY78+CF78+CM78+CT78+DA78+DH78+DO78+DV78+EC78+EJ78+EQ78+EX78+FE78+FL78+FS78+FZ78+GG78+GN78+GU78+HB78+HI78+HP78+HW78+ID78</f>
        <v>40900503.366171889</v>
      </c>
      <c r="NI78" s="14">
        <f>R78+Y78+AF78+AM78+AT78+BA78+BH78+BO78+BV78+CC78+CJ78+CQ78+CX78+DE78+DL78+DS78+DZ78+EG78+EN78+EU78+FB78+FI78+FP78+FW78+GD78+GK78+GR78+GY78+HF78+HM78+HT78+IA78</f>
        <v>41753809.507391438</v>
      </c>
    </row>
    <row r="79" spans="1:373" x14ac:dyDescent="0.25">
      <c r="A79" s="1"/>
      <c r="B79" s="3"/>
      <c r="BS79" s="11">
        <f>BS$78*$D$69/$D$47</f>
        <v>1.512554861079172E-20</v>
      </c>
      <c r="BT79" s="14">
        <f t="shared" si="44"/>
        <v>4.5376645832375155E-16</v>
      </c>
      <c r="BU79" s="14">
        <f t="shared" si="47"/>
        <v>618.39722544756148</v>
      </c>
      <c r="BV79" s="14">
        <f t="shared" si="48"/>
        <v>309.19861272378068</v>
      </c>
      <c r="BW79" s="14">
        <f t="shared" si="45"/>
        <v>9.275958381713421</v>
      </c>
      <c r="BX79" s="14">
        <f t="shared" si="46"/>
        <v>627.67318382927488</v>
      </c>
      <c r="BY79" s="14">
        <f>BT79*(VLOOKUP(109,$A$24:$K$72,11,FALSE)-1)</f>
        <v>2.2027497976881144E-16</v>
      </c>
      <c r="BZ79" s="11">
        <f>BZ$78*$D$68/$D$47</f>
        <v>7.0733159139937348E-18</v>
      </c>
      <c r="CA79" s="14">
        <f t="shared" si="49"/>
        <v>2.1219947741981204E-13</v>
      </c>
      <c r="CB79" s="14">
        <f t="shared" si="52"/>
        <v>1296.5911789256568</v>
      </c>
      <c r="CC79" s="14">
        <f t="shared" si="53"/>
        <v>993.44816129283822</v>
      </c>
      <c r="CD79" s="14">
        <f t="shared" si="50"/>
        <v>29.803444838785147</v>
      </c>
      <c r="CE79" s="14">
        <f t="shared" si="51"/>
        <v>1326.394623764442</v>
      </c>
      <c r="CF79" s="14">
        <f>CA79*(VLOOKUP(108,$A$24:$K$72,11,FALSE)-1)</f>
        <v>1.5631914826189196E-13</v>
      </c>
      <c r="CG79" s="11">
        <f>CG$78*$D$67/$D$47</f>
        <v>1.8233953842234233E-15</v>
      </c>
      <c r="CH79" s="14">
        <f t="shared" si="54"/>
        <v>5.4701861526702697E-11</v>
      </c>
      <c r="CI79" s="14">
        <f t="shared" si="57"/>
        <v>2517.7278053470463</v>
      </c>
      <c r="CJ79" s="14">
        <f t="shared" si="58"/>
        <v>2394.6076426194295</v>
      </c>
      <c r="CK79" s="14">
        <f t="shared" si="55"/>
        <v>71.838229278582887</v>
      </c>
      <c r="CL79" s="14">
        <f t="shared" si="56"/>
        <v>2589.5660346256291</v>
      </c>
      <c r="CM79" s="14">
        <f>CH79*(VLOOKUP(107,$A$24:$K$72,11,FALSE)-1)</f>
        <v>4.9666747621147446E-11</v>
      </c>
      <c r="CN79" s="11">
        <f>CN$78*$D$66/$D$47</f>
        <v>2.72303319467943E-13</v>
      </c>
      <c r="CO79" s="14">
        <f t="shared" si="59"/>
        <v>8.16909958403829E-9</v>
      </c>
      <c r="CP79" s="14">
        <f t="shared" si="62"/>
        <v>4584.6994854040067</v>
      </c>
      <c r="CQ79" s="14">
        <f t="shared" si="63"/>
        <v>5050.4606008299261</v>
      </c>
      <c r="CR79" s="14">
        <f t="shared" si="60"/>
        <v>151.51381802489777</v>
      </c>
      <c r="CS79" s="14">
        <f t="shared" si="61"/>
        <v>4736.2133034289045</v>
      </c>
      <c r="CT79" s="14">
        <f>CO79*(VLOOKUP(106,$A$24:$K$72,11,FALSE)-1)</f>
        <v>8.5436929025782177E-9</v>
      </c>
      <c r="CU79" s="11">
        <f>CU$78*$D$65/$D$47</f>
        <v>2.4691484563504767E-11</v>
      </c>
      <c r="CV79" s="14">
        <f t="shared" si="64"/>
        <v>7.4074453690514305E-7</v>
      </c>
      <c r="CW79" s="14">
        <f t="shared" si="67"/>
        <v>7930.621025002396</v>
      </c>
      <c r="CX79" s="14">
        <f t="shared" si="68"/>
        <v>9820.1471578903711</v>
      </c>
      <c r="CY79" s="14">
        <f t="shared" si="65"/>
        <v>294.60441473671113</v>
      </c>
      <c r="CZ79" s="14">
        <f t="shared" si="66"/>
        <v>8225.225439739108</v>
      </c>
      <c r="DA79" s="14">
        <f>CV79*(VLOOKUP(105,$A$24:$K$72,11,FALSE)-1)</f>
        <v>8.6689959724569888E-7</v>
      </c>
      <c r="DB79" s="11">
        <f>DB$78*$D$64/$D$47</f>
        <v>1.4131623930602612E-9</v>
      </c>
      <c r="DC79" s="14">
        <f t="shared" si="69"/>
        <v>4.2394871791807833E-5</v>
      </c>
      <c r="DD79" s="14">
        <f t="shared" si="72"/>
        <v>13129.482025446092</v>
      </c>
      <c r="DE79" s="14">
        <f t="shared" si="73"/>
        <v>17999.632629588028</v>
      </c>
      <c r="DF79" s="14">
        <f t="shared" si="70"/>
        <v>539.98897888764077</v>
      </c>
      <c r="DG79" s="14">
        <f t="shared" si="71"/>
        <v>13669.471004333733</v>
      </c>
      <c r="DH79" s="14">
        <f>DC79*(VLOOKUP(104,$A$24:$K$72,11,FALSE)-1)</f>
        <v>5.4714654051251945E-5</v>
      </c>
      <c r="DI79" s="11">
        <f>DI$78*$D$63/$D$47</f>
        <v>5.2786988931554948E-8</v>
      </c>
      <c r="DJ79" s="14">
        <f t="shared" si="74"/>
        <v>1.5836096679466484E-3</v>
      </c>
      <c r="DK79" s="14">
        <f t="shared" si="77"/>
        <v>20908.036873385641</v>
      </c>
      <c r="DL79" s="14">
        <f t="shared" si="78"/>
        <v>31448.186601424011</v>
      </c>
      <c r="DM79" s="14">
        <f t="shared" si="75"/>
        <v>943.44559804272035</v>
      </c>
      <c r="DN79" s="14">
        <f t="shared" si="76"/>
        <v>21851.48247142836</v>
      </c>
      <c r="DO79" s="14">
        <f>DJ79*(VLOOKUP(103,$A$24:$K$72,11,FALSE)-1)</f>
        <v>2.2342028497591361E-3</v>
      </c>
      <c r="DP79" s="11">
        <f>DP$78*$D$62/$D$47</f>
        <v>1.3258371780877804E-6</v>
      </c>
      <c r="DQ79" s="14">
        <f t="shared" si="79"/>
        <v>3.9775115342633414E-2</v>
      </c>
      <c r="DR79" s="14">
        <f t="shared" si="82"/>
        <v>32137.837078917979</v>
      </c>
      <c r="DS79" s="14">
        <f t="shared" si="83"/>
        <v>52720.473195032042</v>
      </c>
      <c r="DT79" s="14">
        <f t="shared" si="80"/>
        <v>1581.6141958509611</v>
      </c>
      <c r="DU79" s="14">
        <f t="shared" si="81"/>
        <v>33719.451274768937</v>
      </c>
      <c r="DV79" s="14">
        <f>DQ79*(VLOOKUP(102,$A$24:$K$72,11,FALSE)-1)</f>
        <v>6.0988545423071999E-2</v>
      </c>
      <c r="DW79" s="11">
        <f>DW$78*$D$61/$D$47</f>
        <v>2.3045886456537718E-5</v>
      </c>
      <c r="DX79" s="14">
        <f t="shared" si="84"/>
        <v>0.69137659369613158</v>
      </c>
      <c r="DY79" s="14">
        <f t="shared" si="87"/>
        <v>47905.787287851628</v>
      </c>
      <c r="DZ79" s="14">
        <f t="shared" si="88"/>
        <v>85332.025321885478</v>
      </c>
      <c r="EA79" s="14">
        <f t="shared" si="85"/>
        <v>2559.9607596565643</v>
      </c>
      <c r="EB79" s="14">
        <f t="shared" si="86"/>
        <v>50465.74804750819</v>
      </c>
      <c r="EC79" s="14">
        <f>DX79*(VLOOKUP(101,$A$24:$K$72,11,FALSE)-1)</f>
        <v>1.1471396052338834</v>
      </c>
      <c r="ED79" s="11">
        <f>ED$78*$D$60/$D$47</f>
        <v>2.8397971573639936E-4</v>
      </c>
      <c r="EE79" s="14">
        <f t="shared" si="89"/>
        <v>8.5193914720919803</v>
      </c>
      <c r="EF79" s="14">
        <f t="shared" si="92"/>
        <v>69368.155328375287</v>
      </c>
      <c r="EG79" s="14">
        <f t="shared" si="93"/>
        <v>133700.45729666587</v>
      </c>
      <c r="EH79" s="14">
        <f t="shared" si="90"/>
        <v>4011.0137188999761</v>
      </c>
      <c r="EI79" s="14">
        <f t="shared" si="91"/>
        <v>73379.169047275267</v>
      </c>
      <c r="EJ79" s="14">
        <f>EE79*(VLOOKUP(100,$A$24:$K$72,11,FALSE)-1)</f>
        <v>15.242541036247685</v>
      </c>
      <c r="EK79" s="11">
        <f>EK$78*$D$59/$D$47</f>
        <v>2.5387237920626391E-3</v>
      </c>
      <c r="EL79" s="14">
        <f t="shared" si="94"/>
        <v>76.16171376187917</v>
      </c>
      <c r="EM79" s="14">
        <f t="shared" si="97"/>
        <v>97809.694737364916</v>
      </c>
      <c r="EN79" s="14">
        <f t="shared" si="98"/>
        <v>203407.75768136469</v>
      </c>
      <c r="EO79" s="14">
        <f t="shared" si="95"/>
        <v>6102.23273044094</v>
      </c>
      <c r="EP79" s="14">
        <f t="shared" si="96"/>
        <v>103911.92746780586</v>
      </c>
      <c r="EQ79" s="14">
        <f>EL79*(VLOOKUP(99,$A$24:$K$72,11,FALSE)-1)</f>
        <v>146.5128171481021</v>
      </c>
      <c r="ER79" s="11">
        <f>ER$78*$D$58/$D$47</f>
        <v>1.6887308926703058E-2</v>
      </c>
      <c r="ES79" s="14">
        <f t="shared" si="99"/>
        <v>506.61926780109172</v>
      </c>
      <c r="ET79" s="14">
        <f t="shared" si="102"/>
        <v>134651.31009643152</v>
      </c>
      <c r="EU79" s="14">
        <f t="shared" si="103"/>
        <v>301386.45450930751</v>
      </c>
      <c r="EV79" s="14">
        <f t="shared" si="100"/>
        <v>9041.5936352792251</v>
      </c>
      <c r="EW79" s="14">
        <f t="shared" si="101"/>
        <v>143692.90373171074</v>
      </c>
      <c r="EX79" s="14">
        <f>ES79*(VLOOKUP(98,$A$24:$K$72,11,FALSE)-1)</f>
        <v>1045.1851607767424</v>
      </c>
      <c r="EY79" s="11">
        <f>EY$78*$D$57/$D$47</f>
        <v>8.5793048926010751E-2</v>
      </c>
      <c r="EZ79" s="14">
        <f t="shared" si="104"/>
        <v>2573.7914677803224</v>
      </c>
      <c r="FA79" s="14">
        <f t="shared" si="107"/>
        <v>180780.95095178866</v>
      </c>
      <c r="FB79" s="14">
        <f t="shared" si="108"/>
        <v>436077.98482860182</v>
      </c>
      <c r="FC79" s="14">
        <f t="shared" si="105"/>
        <v>13082.339544858054</v>
      </c>
      <c r="FD79" s="14">
        <f t="shared" si="106"/>
        <v>193863.29049664672</v>
      </c>
      <c r="FE79" s="14">
        <f>EZ79*(VLOOKUP(97,$A$24:$K$72,11,FALSE)-1)</f>
        <v>5701.5034367060898</v>
      </c>
      <c r="FF79" s="11">
        <f>FF$78*$D$56/$D$47</f>
        <v>0.3416881387786857</v>
      </c>
      <c r="FG79" s="14">
        <f t="shared" si="109"/>
        <v>10250.644163360572</v>
      </c>
      <c r="FH79" s="14">
        <f t="shared" si="112"/>
        <v>236598.83880964067</v>
      </c>
      <c r="FI79" s="14">
        <f t="shared" si="113"/>
        <v>616873.34130455484</v>
      </c>
      <c r="FJ79" s="14">
        <f t="shared" si="110"/>
        <v>18506.200239136644</v>
      </c>
      <c r="FK79" s="14">
        <f t="shared" si="111"/>
        <v>255105.03904877731</v>
      </c>
      <c r="FL79" s="14">
        <f>FG79*(VLOOKUP(96,$A$24:$K$72,11,FALSE)-1)</f>
        <v>24449.740584759355</v>
      </c>
      <c r="FM79" s="11">
        <f>FM$78*$D$55/$D$47</f>
        <v>1.0943005113026307</v>
      </c>
      <c r="FN79" s="14">
        <f t="shared" si="114"/>
        <v>32829.01533907892</v>
      </c>
      <c r="FO79" s="14">
        <f t="shared" si="117"/>
        <v>301804.3700810509</v>
      </c>
      <c r="FP79" s="14">
        <f t="shared" si="118"/>
        <v>853529.1290423997</v>
      </c>
      <c r="FQ79" s="14">
        <f t="shared" si="115"/>
        <v>25605.87387127199</v>
      </c>
      <c r="FR79" s="14">
        <f t="shared" si="116"/>
        <v>327410.24395232287</v>
      </c>
      <c r="FS79" s="14">
        <f>FN79*(VLOOKUP(95,$A$24:$K$72,11,FALSE)-1)</f>
        <v>84590.156244185724</v>
      </c>
      <c r="FT79" s="11">
        <f>FT$78*$D$54/$D$47</f>
        <v>2.8882646929527911</v>
      </c>
      <c r="FU79" s="14">
        <f t="shared" si="119"/>
        <v>86647.940788583728</v>
      </c>
      <c r="FV79" s="14">
        <f t="shared" si="122"/>
        <v>375368.83784418384</v>
      </c>
      <c r="FW79" s="14">
        <f t="shared" si="123"/>
        <v>1155447.2408995656</v>
      </c>
      <c r="FX79" s="14">
        <f t="shared" si="120"/>
        <v>34663.417226986967</v>
      </c>
      <c r="FY79" s="14">
        <f t="shared" si="121"/>
        <v>410032.2550711708</v>
      </c>
      <c r="FZ79" s="14">
        <f>FU79*(VLOOKUP(94,$A$24:$K$72,11,FALSE)-1)</f>
        <v>241942.5416130081</v>
      </c>
      <c r="GA79" s="11">
        <f>GA$78*$D$53/$D$47</f>
        <v>6.4238998222076757</v>
      </c>
      <c r="GB79" s="14">
        <f t="shared" si="124"/>
        <v>192716.99466623028</v>
      </c>
      <c r="GC79" s="14">
        <f t="shared" si="127"/>
        <v>455522.08828468126</v>
      </c>
      <c r="GD79" s="14">
        <f t="shared" si="128"/>
        <v>1530925.8430098952</v>
      </c>
      <c r="GE79" s="14">
        <f t="shared" si="125"/>
        <v>45927.775290296857</v>
      </c>
      <c r="GF79" s="14">
        <f t="shared" si="126"/>
        <v>501449.86357497814</v>
      </c>
      <c r="GG79" s="14">
        <f>GB79*(VLOOKUP(93,$A$24:$K$72,11,FALSE)-1)</f>
        <v>584735.46849169128</v>
      </c>
      <c r="GH79" s="11">
        <f>GH$78*$D$52/$D$47</f>
        <v>12.225768501585256</v>
      </c>
      <c r="GI79" s="14">
        <f t="shared" si="129"/>
        <v>366773.05504755769</v>
      </c>
      <c r="GJ79" s="14">
        <f t="shared" si="132"/>
        <v>540518.97412497259</v>
      </c>
      <c r="GK79" s="14">
        <f t="shared" si="133"/>
        <v>1986331.2847497296</v>
      </c>
      <c r="GL79" s="14">
        <f t="shared" si="130"/>
        <v>59589.938542491887</v>
      </c>
      <c r="GM79" s="14">
        <f t="shared" si="131"/>
        <v>600108.91266746446</v>
      </c>
      <c r="GN79" s="14">
        <f>GI79*(VLOOKUP(92,$A$24:$K$72,11,FALSE)-1)</f>
        <v>1210561.9561943079</v>
      </c>
      <c r="GO79" s="11">
        <f>GO$78*$D$51/$D$47</f>
        <v>20.202149428016096</v>
      </c>
      <c r="GP79" s="14">
        <f t="shared" si="134"/>
        <v>606064.48284048284</v>
      </c>
      <c r="GQ79" s="14">
        <f t="shared" si="137"/>
        <v>632248.51065424026</v>
      </c>
      <c r="GR79" s="14">
        <f t="shared" si="138"/>
        <v>2529464.9138349793</v>
      </c>
      <c r="GS79" s="14">
        <f t="shared" si="135"/>
        <v>75883.947415049377</v>
      </c>
      <c r="GT79" s="14">
        <f t="shared" si="136"/>
        <v>708132.45806928969</v>
      </c>
      <c r="GU79" s="14">
        <f>GP79*(VLOOKUP(91,$A$24:$K$72,11,FALSE)-1)</f>
        <v>2165610.8155199974</v>
      </c>
      <c r="GV79" s="11">
        <f>GV$78*$D$50/$D$47</f>
        <v>29.315817447137331</v>
      </c>
      <c r="GW79" s="14">
        <f t="shared" si="139"/>
        <v>879474.52341411996</v>
      </c>
      <c r="GX79" s="14">
        <f t="shared" si="142"/>
        <v>727815.46598424111</v>
      </c>
      <c r="GY79" s="14">
        <f t="shared" si="143"/>
        <v>3156641.8841586085</v>
      </c>
      <c r="GZ79" s="14">
        <f t="shared" si="140"/>
        <v>94699.256524758253</v>
      </c>
      <c r="HA79" s="14">
        <f t="shared" si="141"/>
        <v>822514.7225089994</v>
      </c>
      <c r="HB79" s="14">
        <f>GW79*(VLOOKUP(90,$A$24:$K$72,11,FALSE)-1)</f>
        <v>3386716.9594305335</v>
      </c>
      <c r="HC79" s="11">
        <f>HC$78*$D$49/$D$47</f>
        <v>38.235202439131534</v>
      </c>
      <c r="HD79" s="14">
        <f t="shared" si="144"/>
        <v>1147056.073173946</v>
      </c>
      <c r="HE79" s="14">
        <f t="shared" si="147"/>
        <v>826911.90396758018</v>
      </c>
      <c r="HF79" s="14">
        <f t="shared" si="148"/>
        <v>3885954.2352262535</v>
      </c>
      <c r="HG79" s="14">
        <f t="shared" si="145"/>
        <v>116578.62705678761</v>
      </c>
      <c r="HH79" s="14">
        <f t="shared" si="146"/>
        <v>943490.53102436778</v>
      </c>
      <c r="HI79" s="14">
        <f>HD79*(VLOOKUP(89,$A$24:$K$72,11,FALSE)-1)</f>
        <v>4756569.7023017276</v>
      </c>
      <c r="HJ79" s="11">
        <f>HJ$78*$D$48/$D$47</f>
        <v>45.306186438327742</v>
      </c>
      <c r="HK79" s="14">
        <f t="shared" si="149"/>
        <v>1359185.5931498322</v>
      </c>
      <c r="HL79" s="14">
        <f t="shared" si="152"/>
        <v>922032.70420175104</v>
      </c>
      <c r="HM79" s="14">
        <f t="shared" si="153"/>
        <v>4713729.2025195155</v>
      </c>
      <c r="HN79" s="14">
        <f t="shared" si="150"/>
        <v>141411.87607558546</v>
      </c>
      <c r="HO79" s="14">
        <f t="shared" si="151"/>
        <v>1063444.5802773365</v>
      </c>
      <c r="HP79" s="14">
        <f>HK79*(VLOOKUP(88,$A$24:$K$72,11,FALSE)-1)</f>
        <v>6092115.8357673259</v>
      </c>
      <c r="HQ79" s="11">
        <f>HQ$78*$D$47/$D$47</f>
        <v>49.089394019667274</v>
      </c>
      <c r="HR79" s="14">
        <f t="shared" si="154"/>
        <v>1472681.8205900183</v>
      </c>
      <c r="HS79" s="14">
        <f t="shared" si="157"/>
        <v>1014746.7330519994</v>
      </c>
      <c r="HT79" s="14">
        <f t="shared" si="158"/>
        <v>5636175.418361065</v>
      </c>
      <c r="HU79" s="14">
        <f t="shared" si="155"/>
        <v>169085.26255083195</v>
      </c>
      <c r="HV79" s="14">
        <f t="shared" si="156"/>
        <v>1183831.9956028312</v>
      </c>
      <c r="HW79" s="14">
        <f>HR79*(VLOOKUP(87,$A$24:$K$72,11,FALSE)-1)</f>
        <v>7122715.5176983438</v>
      </c>
      <c r="HX79" s="11">
        <f>HX$78*$D$46/$D$47</f>
        <v>49.089776507848001</v>
      </c>
      <c r="HY79" s="14">
        <f t="shared" si="159"/>
        <v>1472693.2952354401</v>
      </c>
      <c r="HZ79" s="14">
        <f t="shared" ref="HZ79:HZ96" si="162">IA78/$G48</f>
        <v>1109627.8180645141</v>
      </c>
      <c r="IA79" s="14">
        <f t="shared" ref="IA79:IA96" si="163">IA78-HZ79</f>
        <v>6650973.9731795527</v>
      </c>
      <c r="IB79" s="14">
        <f t="shared" si="160"/>
        <v>199529.21919538657</v>
      </c>
      <c r="IC79" s="14">
        <f t="shared" si="161"/>
        <v>1309157.0372599007</v>
      </c>
      <c r="ID79" s="14">
        <f>HY79*(VLOOKUP(86,$A$24:$K$72,11,FALSE)-1)</f>
        <v>7631603.9924146337</v>
      </c>
      <c r="IE79" s="11">
        <f>($N78-$N79)+(HX78-HX79)+(HQ78-HQ79)+(HJ78-HJ79)+(HC78-HC79)+(GV78-GV79)+(GO78-GO79)+(GH78-GH79)+(GA78-GA79)+(FT78-FT79)+(FM78-FM79)+(FF78-FF79)+(EY78-EY79)+(ER78-ER79)+(EK78-EK79)+(ED78-ED79)+(DW78-DW79)+(DP78-DP79)+(DI78-DI79)+(DB78-DB79)+(CU78-CU79)+(CN78-CN79)+(CG78-CG79)+(BZ78-BZ79)+(BS78-BS79)+(BL78-BL79)+(BE78-BE79)+(AX78-AX79)+(AQ78-AQ79)+(AJ78-AJ79)+(AC78-AC79)+(V78-V79)</f>
        <v>45.682024565735695</v>
      </c>
      <c r="IF79" s="14">
        <f t="shared" ref="IF79:IF96" si="164">IE79*$B$21</f>
        <v>1370460.7369720708</v>
      </c>
      <c r="IG79" s="14">
        <f>IF$46/$G47</f>
        <v>1202172.7369498969</v>
      </c>
      <c r="IH79" s="14">
        <f>IF$46-IG79</f>
        <v>7760445.2552433349</v>
      </c>
      <c r="II79" s="14">
        <f t="shared" ref="II79:II96" si="165">$B$20*IH79</f>
        <v>232813.35765730005</v>
      </c>
      <c r="IJ79" s="14">
        <f t="shared" ref="IJ79:IJ96" si="166">IG79+II79</f>
        <v>1434986.094607197</v>
      </c>
      <c r="IK79" s="14">
        <f>IF79*(VLOOKUP(85,$A$24:$K$72,11,FALSE)-1)</f>
        <v>7592157.2552211592</v>
      </c>
      <c r="NC79" s="15">
        <v>33</v>
      </c>
      <c r="ND79" s="15">
        <f>N79+V79+AC79+AJ79+AQ79+AX79+BE79+BL79+BS79+BZ79+CG79+CN79+CU79+DB79+DI79+DP79+DW79+ED79+EK79+ER79+EY79+FF79+FM79+FT79+GA79+GH79+GO79+GV79+HC79+HJ79+HQ79+HX79+IE79</f>
        <v>299.99999999999994</v>
      </c>
      <c r="NE79" s="14">
        <f>P79+W79+AD79+AK79+AR79+AY79+BF79+BM79+BT79+CA79+CH79+CO79+CV79+DC79+DJ79+DQ79+DX79+EE79+EL79+ES79+EZ79+FG79+FN79+FU79+GB79+GI79+GP79+GW79+HD79+HK79+HR79+HY79+IF79</f>
        <v>9000000</v>
      </c>
      <c r="NF79" s="14">
        <f>T79+AA79+AH79+AO79+AV79+BC79+BJ79+BQ79+BX79+CE79+CL79+CS79+CZ79+DG79+DN79+DU79+EB79+EI79+EP79+EW79+FD79+FK79+FR79+FY79+GF79+GM79+GT79+HA79+HH79+HO79+HV79+IC79+IJ79</f>
        <v>10211722.249791501</v>
      </c>
      <c r="NH79" s="14">
        <f>U79+AB79+AI79+AP79+AW79+BD79+BK79+BR79+BY79+CF79+CM79+CT79+DA79+DH79+DO79+DV79+EC79+EJ79+EQ79+EX79+FE79+FL79+FS79+FZ79+GG79+GN79+GU79+HB79+HI79+HP79+HW79+ID79+IK79</f>
        <v>40900679.595855288</v>
      </c>
      <c r="NI79" s="14">
        <f>R79+Y79+AF79+AM79+AT79+BA79+BH79+BO79+BV79+CC79+CJ79+CQ79+CX79+DE79+DL79+DS79+DZ79+EG79+EN79+EU79+FB79+FI79+FP79+FW79+GD79+GK79+GR79+GY79+HF79+HM79+HT79+IA79+IH79</f>
        <v>41757132.555768684</v>
      </c>
    </row>
    <row r="80" spans="1:373" x14ac:dyDescent="0.25">
      <c r="A80" s="1"/>
      <c r="B80" s="3"/>
      <c r="BZ80" s="11">
        <f>BZ$79*$D$69/$D$47</f>
        <v>1.6199348722348249E-20</v>
      </c>
      <c r="CA80" s="14">
        <f t="shared" si="49"/>
        <v>4.8598046167044746E-16</v>
      </c>
      <c r="CB80" s="14">
        <f t="shared" si="52"/>
        <v>662.29877419522552</v>
      </c>
      <c r="CC80" s="14">
        <f t="shared" si="53"/>
        <v>331.1493870976127</v>
      </c>
      <c r="CD80" s="14">
        <f t="shared" si="50"/>
        <v>9.9344816129283799</v>
      </c>
      <c r="CE80" s="14">
        <f t="shared" si="51"/>
        <v>672.2332558081539</v>
      </c>
      <c r="CF80" s="14">
        <f>CA80*(VLOOKUP(109,$A$24:$K$72,11,FALSE)-1)</f>
        <v>2.3591284547109102E-16</v>
      </c>
      <c r="CG80" s="11">
        <f>CG$79*$D$68/$D$47</f>
        <v>7.3962992900790093E-18</v>
      </c>
      <c r="CH80" s="14">
        <f t="shared" si="54"/>
        <v>2.2188897870237029E-13</v>
      </c>
      <c r="CI80" s="14">
        <f t="shared" si="57"/>
        <v>1355.7964231793849</v>
      </c>
      <c r="CJ80" s="14">
        <f t="shared" si="58"/>
        <v>1038.8112194400446</v>
      </c>
      <c r="CK80" s="14">
        <f t="shared" si="55"/>
        <v>31.164336583201337</v>
      </c>
      <c r="CL80" s="14">
        <f t="shared" si="56"/>
        <v>1386.9607597625861</v>
      </c>
      <c r="CM80" s="14">
        <f>CH80*(VLOOKUP(108,$A$24:$K$72,11,FALSE)-1)</f>
        <v>1.6345702911809901E-13</v>
      </c>
      <c r="CN80" s="11">
        <f>CN$79*$D$67/$D$47</f>
        <v>1.8746656545142334E-15</v>
      </c>
      <c r="CO80" s="14">
        <f t="shared" si="59"/>
        <v>5.6239969635427001E-11</v>
      </c>
      <c r="CP80" s="14">
        <f t="shared" si="62"/>
        <v>2588.5213294591022</v>
      </c>
      <c r="CQ80" s="14">
        <f t="shared" si="63"/>
        <v>2461.9392713708239</v>
      </c>
      <c r="CR80" s="14">
        <f t="shared" si="60"/>
        <v>73.858178141124711</v>
      </c>
      <c r="CS80" s="14">
        <f t="shared" si="61"/>
        <v>2662.379507600227</v>
      </c>
      <c r="CT80" s="14">
        <f>CO80*(VLOOKUP(107,$A$24:$K$72,11,FALSE)-1)</f>
        <v>5.1063278289720017E-11</v>
      </c>
      <c r="CU80" s="11">
        <f>CU$79*$D$66/$D$47</f>
        <v>2.7753131705385442E-13</v>
      </c>
      <c r="CV80" s="14">
        <f t="shared" si="64"/>
        <v>8.3259395116156326E-9</v>
      </c>
      <c r="CW80" s="14">
        <f t="shared" si="67"/>
        <v>4672.7219079314109</v>
      </c>
      <c r="CX80" s="14">
        <f t="shared" si="68"/>
        <v>5147.4252499589602</v>
      </c>
      <c r="CY80" s="14">
        <f t="shared" si="65"/>
        <v>154.42275749876879</v>
      </c>
      <c r="CZ80" s="14">
        <f t="shared" si="66"/>
        <v>4827.1446654301799</v>
      </c>
      <c r="DA80" s="14">
        <f>CV80*(VLOOKUP(106,$A$24:$K$72,11,FALSE)-1)</f>
        <v>8.7077247107718231E-9</v>
      </c>
      <c r="DB80" s="11">
        <f>DB$79*$D$65/$D$47</f>
        <v>2.5037657336461343E-11</v>
      </c>
      <c r="DC80" s="14">
        <f t="shared" si="69"/>
        <v>7.5112972009384026E-7</v>
      </c>
      <c r="DD80" s="14">
        <f t="shared" si="72"/>
        <v>8041.8077405857321</v>
      </c>
      <c r="DE80" s="14">
        <f t="shared" si="73"/>
        <v>9957.8248890022951</v>
      </c>
      <c r="DF80" s="14">
        <f t="shared" si="70"/>
        <v>298.73474667006883</v>
      </c>
      <c r="DG80" s="14">
        <f t="shared" si="71"/>
        <v>8340.5424872558015</v>
      </c>
      <c r="DH80" s="14">
        <f>DC80*(VLOOKUP(105,$A$24:$K$72,11,FALSE)-1)</f>
        <v>8.7905346497615671E-7</v>
      </c>
      <c r="DI80" s="11">
        <f>DI$79*$D$64/$D$47</f>
        <v>1.4276472404552319E-9</v>
      </c>
      <c r="DJ80" s="14">
        <f t="shared" si="74"/>
        <v>4.2829417213656953E-5</v>
      </c>
      <c r="DK80" s="14">
        <f t="shared" si="77"/>
        <v>13264.058592475849</v>
      </c>
      <c r="DL80" s="14">
        <f t="shared" si="78"/>
        <v>18184.128008948162</v>
      </c>
      <c r="DM80" s="14">
        <f t="shared" si="75"/>
        <v>545.52384026844481</v>
      </c>
      <c r="DN80" s="14">
        <f t="shared" si="76"/>
        <v>13809.582432744293</v>
      </c>
      <c r="DO80" s="14">
        <f>DJ80*(VLOOKUP(104,$A$24:$K$72,11,FALSE)-1)</f>
        <v>5.5275476655995011E-5</v>
      </c>
      <c r="DP80" s="11">
        <f>DP$79*$D$63/$D$47</f>
        <v>5.3154235548548906E-8</v>
      </c>
      <c r="DQ80" s="14">
        <f t="shared" si="79"/>
        <v>1.5946270664564672E-3</v>
      </c>
      <c r="DR80" s="14">
        <f t="shared" si="82"/>
        <v>21053.497070399171</v>
      </c>
      <c r="DS80" s="14">
        <f t="shared" si="83"/>
        <v>31666.976124632871</v>
      </c>
      <c r="DT80" s="14">
        <f t="shared" si="80"/>
        <v>950.00928373898614</v>
      </c>
      <c r="DU80" s="14">
        <f t="shared" si="81"/>
        <v>22003.506354138157</v>
      </c>
      <c r="DV80" s="14">
        <f>DQ80*(VLOOKUP(103,$A$24:$K$72,11,FALSE)-1)</f>
        <v>2.2497465179027423E-3</v>
      </c>
      <c r="DW80" s="11">
        <f>DW$79*$D$62/$D$47</f>
        <v>1.3332385630593271E-6</v>
      </c>
      <c r="DX80" s="14">
        <f t="shared" si="84"/>
        <v>3.9997156891779809E-2</v>
      </c>
      <c r="DY80" s="14">
        <f t="shared" si="87"/>
        <v>32317.244104384703</v>
      </c>
      <c r="DZ80" s="14">
        <f t="shared" si="88"/>
        <v>53014.781217500771</v>
      </c>
      <c r="EA80" s="14">
        <f t="shared" si="85"/>
        <v>1590.4434365250231</v>
      </c>
      <c r="EB80" s="14">
        <f t="shared" si="86"/>
        <v>33907.687540909727</v>
      </c>
      <c r="EC80" s="14">
        <f>DX80*(VLOOKUP(102,$A$24:$K$72,11,FALSE)-1)</f>
        <v>6.1329009328437704E-2</v>
      </c>
      <c r="ED80" s="11">
        <f>ED$79*$D$61/$D$47</f>
        <v>2.3125909212209258E-5</v>
      </c>
      <c r="EE80" s="14">
        <f t="shared" si="89"/>
        <v>0.69377727636627773</v>
      </c>
      <c r="EF80" s="14">
        <f t="shared" si="92"/>
        <v>48072.131642564076</v>
      </c>
      <c r="EG80" s="14">
        <f t="shared" si="93"/>
        <v>85628.325654101791</v>
      </c>
      <c r="EH80" s="14">
        <f t="shared" si="90"/>
        <v>2568.8497696230538</v>
      </c>
      <c r="EI80" s="14">
        <f t="shared" si="91"/>
        <v>50640.981412187131</v>
      </c>
      <c r="EJ80" s="14">
        <f>EE80*(VLOOKUP(101,$A$24:$K$72,11,FALSE)-1)</f>
        <v>1.1511228441743293</v>
      </c>
      <c r="EK80" s="11">
        <f>EK$79*$D$60/$D$47</f>
        <v>2.844539904923213E-4</v>
      </c>
      <c r="EL80" s="14">
        <f t="shared" si="94"/>
        <v>8.5336197147696389</v>
      </c>
      <c r="EM80" s="14">
        <f t="shared" si="97"/>
        <v>69484.007141424023</v>
      </c>
      <c r="EN80" s="14">
        <f t="shared" si="98"/>
        <v>133923.75053994067</v>
      </c>
      <c r="EO80" s="14">
        <f t="shared" si="95"/>
        <v>4017.7125161982199</v>
      </c>
      <c r="EP80" s="14">
        <f t="shared" si="96"/>
        <v>73501.719657622249</v>
      </c>
      <c r="EQ80" s="14">
        <f>EL80*(VLOOKUP(100,$A$24:$K$72,11,FALSE)-1)</f>
        <v>15.267997616520859</v>
      </c>
      <c r="ER80" s="11">
        <f>ER$79*$D$59/$D$47</f>
        <v>2.5401481770868585E-3</v>
      </c>
      <c r="ES80" s="14">
        <f t="shared" si="99"/>
        <v>76.204445312605756</v>
      </c>
      <c r="ET80" s="14">
        <f t="shared" si="102"/>
        <v>97864.572178086455</v>
      </c>
      <c r="EU80" s="14">
        <f t="shared" si="103"/>
        <v>203521.88233122107</v>
      </c>
      <c r="EV80" s="14">
        <f t="shared" si="100"/>
        <v>6105.6564699366318</v>
      </c>
      <c r="EW80" s="14">
        <f t="shared" si="101"/>
        <v>103970.22864802308</v>
      </c>
      <c r="EX80" s="14">
        <f>ES80*(VLOOKUP(99,$A$24:$K$72,11,FALSE)-1)</f>
        <v>146.59502012869197</v>
      </c>
      <c r="EY80" s="11">
        <f>EY$79*$D$58/$D$47</f>
        <v>1.6888866615930243E-2</v>
      </c>
      <c r="EZ80" s="14">
        <f t="shared" si="104"/>
        <v>506.66599847790729</v>
      </c>
      <c r="FA80" s="14">
        <f t="shared" si="107"/>
        <v>134663.73036398736</v>
      </c>
      <c r="FB80" s="14">
        <f t="shared" si="108"/>
        <v>301414.25446461444</v>
      </c>
      <c r="FC80" s="14">
        <f t="shared" si="105"/>
        <v>9042.4276339384323</v>
      </c>
      <c r="FD80" s="14">
        <f t="shared" si="106"/>
        <v>143706.15799792579</v>
      </c>
      <c r="FE80" s="14">
        <f>EZ80*(VLOOKUP(98,$A$24:$K$72,11,FALSE)-1)</f>
        <v>1045.2815688943663</v>
      </c>
      <c r="FF80" s="11">
        <f>FF$79*$D$57/$D$47</f>
        <v>8.5795052453507464E-2</v>
      </c>
      <c r="FG80" s="14">
        <f t="shared" si="109"/>
        <v>2573.8515736052241</v>
      </c>
      <c r="FH80" s="14">
        <f t="shared" si="112"/>
        <v>180785.17273444645</v>
      </c>
      <c r="FI80" s="14">
        <f t="shared" si="113"/>
        <v>436088.16857010836</v>
      </c>
      <c r="FJ80" s="14">
        <f t="shared" si="110"/>
        <v>13082.645057103251</v>
      </c>
      <c r="FK80" s="14">
        <f t="shared" si="111"/>
        <v>193867.81779154969</v>
      </c>
      <c r="FL80" s="14">
        <f>FG80*(VLOOKUP(97,$A$24:$K$72,11,FALSE)-1)</f>
        <v>5701.636584077014</v>
      </c>
      <c r="FM80" s="11">
        <f>FM$79*$D$56/$D$47</f>
        <v>0.34171093831888988</v>
      </c>
      <c r="FN80" s="14">
        <f t="shared" si="114"/>
        <v>10251.328149566696</v>
      </c>
      <c r="FO80" s="14">
        <f t="shared" si="117"/>
        <v>236614.62614354389</v>
      </c>
      <c r="FP80" s="14">
        <f t="shared" si="118"/>
        <v>616914.50289885583</v>
      </c>
      <c r="FQ80" s="14">
        <f t="shared" si="115"/>
        <v>18507.435086965674</v>
      </c>
      <c r="FR80" s="14">
        <f t="shared" si="116"/>
        <v>255122.06123050957</v>
      </c>
      <c r="FS80" s="14">
        <f>FN80*(VLOOKUP(96,$A$24:$K$72,11,FALSE)-1)</f>
        <v>24451.372022260919</v>
      </c>
      <c r="FT80" s="11">
        <f>FT$79*$D$55/$D$47</f>
        <v>1.0944082444237204</v>
      </c>
      <c r="FU80" s="14">
        <f t="shared" si="119"/>
        <v>32832.247332711609</v>
      </c>
      <c r="FV80" s="14">
        <f t="shared" si="122"/>
        <v>301834.08251050813</v>
      </c>
      <c r="FW80" s="14">
        <f t="shared" si="123"/>
        <v>853613.1583890575</v>
      </c>
      <c r="FX80" s="14">
        <f t="shared" si="120"/>
        <v>25608.394751671723</v>
      </c>
      <c r="FY80" s="14">
        <f t="shared" si="121"/>
        <v>327442.47726217983</v>
      </c>
      <c r="FZ80" s="14">
        <f>FU80*(VLOOKUP(95,$A$24:$K$72,11,FALSE)-1)</f>
        <v>84598.484085991076</v>
      </c>
      <c r="GA80" s="11">
        <f>GA$79*$D$54/$D$47</f>
        <v>2.88847179049956</v>
      </c>
      <c r="GB80" s="14">
        <f t="shared" si="124"/>
        <v>86654.153714986795</v>
      </c>
      <c r="GC80" s="14">
        <f t="shared" si="127"/>
        <v>375395.75295540591</v>
      </c>
      <c r="GD80" s="14">
        <f t="shared" si="128"/>
        <v>1155530.0900544892</v>
      </c>
      <c r="GE80" s="14">
        <f t="shared" si="125"/>
        <v>34665.902701634674</v>
      </c>
      <c r="GF80" s="14">
        <f t="shared" si="126"/>
        <v>410061.6556570406</v>
      </c>
      <c r="GG80" s="14">
        <f>GB80*(VLOOKUP(94,$A$24:$K$72,11,FALSE)-1)</f>
        <v>241959.88964449198</v>
      </c>
      <c r="GH80" s="11">
        <f>GH$79*$D$53/$D$47</f>
        <v>6.4235226033000448</v>
      </c>
      <c r="GI80" s="14">
        <f t="shared" si="129"/>
        <v>192705.67809900135</v>
      </c>
      <c r="GJ80" s="14">
        <f t="shared" si="132"/>
        <v>455495.33949511428</v>
      </c>
      <c r="GK80" s="14">
        <f t="shared" si="133"/>
        <v>1530835.9452546153</v>
      </c>
      <c r="GL80" s="14">
        <f t="shared" si="130"/>
        <v>45925.078357638457</v>
      </c>
      <c r="GM80" s="14">
        <f t="shared" si="131"/>
        <v>501420.41785275273</v>
      </c>
      <c r="GN80" s="14">
        <f>GI80*(VLOOKUP(93,$A$24:$K$72,11,FALSE)-1)</f>
        <v>584701.13214137719</v>
      </c>
      <c r="GO80" s="11">
        <f>GO$79*$D$52/$D$47</f>
        <v>12.238419099357543</v>
      </c>
      <c r="GP80" s="14">
        <f t="shared" si="134"/>
        <v>367152.57298072631</v>
      </c>
      <c r="GQ80" s="14">
        <f t="shared" si="137"/>
        <v>541078.2754178989</v>
      </c>
      <c r="GR80" s="14">
        <f t="shared" si="138"/>
        <v>1988386.6384170805</v>
      </c>
      <c r="GS80" s="14">
        <f t="shared" si="135"/>
        <v>59651.599152512412</v>
      </c>
      <c r="GT80" s="14">
        <f t="shared" si="136"/>
        <v>600729.87457041128</v>
      </c>
      <c r="GU80" s="14">
        <f>GP80*(VLOOKUP(92,$A$24:$K$72,11,FALSE)-1)</f>
        <v>1211814.5835759128</v>
      </c>
      <c r="GV80" s="11">
        <f>GV$79*$D$51/$D$47</f>
        <v>20.169744209125724</v>
      </c>
      <c r="GW80" s="14">
        <f t="shared" si="139"/>
        <v>605092.3262737717</v>
      </c>
      <c r="GX80" s="14">
        <f t="shared" si="142"/>
        <v>631234.35364813218</v>
      </c>
      <c r="GY80" s="14">
        <f t="shared" si="143"/>
        <v>2525407.5305104763</v>
      </c>
      <c r="GZ80" s="14">
        <f t="shared" si="140"/>
        <v>75762.22591531428</v>
      </c>
      <c r="HA80" s="14">
        <f t="shared" si="141"/>
        <v>706996.57956344646</v>
      </c>
      <c r="HB80" s="14">
        <f>GW80*(VLOOKUP(91,$A$24:$K$72,11,FALSE)-1)</f>
        <v>2162137.0716612889</v>
      </c>
      <c r="HC80" s="11">
        <f>HC$79*$D$50/$D$47</f>
        <v>29.327114368660478</v>
      </c>
      <c r="HD80" s="14">
        <f t="shared" si="144"/>
        <v>879813.43105981429</v>
      </c>
      <c r="HE80" s="14">
        <f t="shared" si="147"/>
        <v>728095.93144345446</v>
      </c>
      <c r="HF80" s="14">
        <f t="shared" si="148"/>
        <v>3157858.3037827993</v>
      </c>
      <c r="HG80" s="14">
        <f t="shared" si="145"/>
        <v>94735.74911348398</v>
      </c>
      <c r="HH80" s="14">
        <f t="shared" si="146"/>
        <v>822831.6805569384</v>
      </c>
      <c r="HI80" s="14">
        <f>HD80*(VLOOKUP(90,$A$24:$K$72,11,FALSE)-1)</f>
        <v>3388022.0390443215</v>
      </c>
      <c r="HJ80" s="11">
        <f>HJ$79*$D$49/$D$47</f>
        <v>38.242204420516209</v>
      </c>
      <c r="HK80" s="14">
        <f t="shared" si="149"/>
        <v>1147266.1326154864</v>
      </c>
      <c r="HL80" s="14">
        <f t="shared" si="152"/>
        <v>827063.33566897071</v>
      </c>
      <c r="HM80" s="14">
        <f t="shared" si="153"/>
        <v>3886665.8668505447</v>
      </c>
      <c r="HN80" s="14">
        <f t="shared" si="150"/>
        <v>116599.97600551634</v>
      </c>
      <c r="HO80" s="14">
        <f t="shared" si="151"/>
        <v>943663.31167448708</v>
      </c>
      <c r="HP80" s="14">
        <f>HK80*(VLOOKUP(89,$A$24:$K$72,11,FALSE)-1)</f>
        <v>4757440.7690252131</v>
      </c>
      <c r="HQ80" s="11">
        <f>HQ$79*$D$48/$D$47</f>
        <v>45.30951068015289</v>
      </c>
      <c r="HR80" s="14">
        <f t="shared" si="154"/>
        <v>1359285.3204045866</v>
      </c>
      <c r="HS80" s="14">
        <f t="shared" si="157"/>
        <v>922100.35632435186</v>
      </c>
      <c r="HT80" s="14">
        <f t="shared" si="158"/>
        <v>4714075.0620367136</v>
      </c>
      <c r="HU80" s="14">
        <f t="shared" si="155"/>
        <v>141422.25186110139</v>
      </c>
      <c r="HV80" s="14">
        <f t="shared" si="156"/>
        <v>1063522.6081854533</v>
      </c>
      <c r="HW80" s="14">
        <f>HR80*(VLOOKUP(88,$A$24:$K$72,11,FALSE)-1)</f>
        <v>6092562.8313733777</v>
      </c>
      <c r="HX80" s="11">
        <f>HX$79*$D$47/$D$47</f>
        <v>49.089776507848001</v>
      </c>
      <c r="HY80" s="14">
        <f t="shared" si="159"/>
        <v>1472693.2952354401</v>
      </c>
      <c r="HZ80" s="14">
        <f t="shared" si="162"/>
        <v>1014754.6396199982</v>
      </c>
      <c r="IA80" s="14">
        <f t="shared" si="163"/>
        <v>5636219.3335595541</v>
      </c>
      <c r="IB80" s="14">
        <f t="shared" si="160"/>
        <v>169086.58000678662</v>
      </c>
      <c r="IC80" s="14">
        <f t="shared" si="161"/>
        <v>1183841.2196267848</v>
      </c>
      <c r="ID80" s="14">
        <f>HY80*(VLOOKUP(87,$A$24:$K$72,11,FALSE)-1)</f>
        <v>7122771.0155213382</v>
      </c>
      <c r="IE80" s="11">
        <f>IE$79*$D$46/$D$47</f>
        <v>49.088786337562532</v>
      </c>
      <c r="IF80" s="14">
        <f t="shared" si="164"/>
        <v>1472663.590126876</v>
      </c>
      <c r="IG80" s="14">
        <f t="shared" ref="IG80:IG96" si="167">IH79/$G48</f>
        <v>1109605.4362047545</v>
      </c>
      <c r="IH80" s="14">
        <f t="shared" ref="IH80:IH96" si="168">IH79-IG80</f>
        <v>6650839.8190385802</v>
      </c>
      <c r="II80" s="14">
        <f t="shared" si="165"/>
        <v>199525.19457115739</v>
      </c>
      <c r="IJ80" s="14">
        <f t="shared" si="166"/>
        <v>1309130.630775912</v>
      </c>
      <c r="IK80" s="14">
        <f>IF80*(VLOOKUP(86,$A$24:$K$72,11,FALSE)-1)</f>
        <v>7631450.0583770126</v>
      </c>
      <c r="IL80" s="11">
        <f>($N79-$N80)+(IE79-IE80)+(HX79-HX80)+(HQ79-HQ80)+(HJ79-HJ80)+(HC79-HC80)+(GV79-GV80)+(GO79-GO80)+(GH79-GH80)+(GA79-GA80)+(FT79-FT80)+(FM79-FM80)+(FF79-FF80)+(EY79-EY80)+(ER79-ER80)+(EK79-EK80)+(ED79-ED80)+(DW79-DW80)+(DP79-DP80)+(DI79-DI80)+(DB79-DB80)+(CU79-CU80)+(CN79-CN80)+(CG79-CG80)+(BZ79-BZ80)+(BS79-BS80)+(BL79-BL80)+(BE79-BE80)+(AX79-AX80)+(AQ79-AQ80)+(AJ79-AJ80)+(AC79-AC80)+(V79-V80)</f>
        <v>45.680797765242382</v>
      </c>
      <c r="IM80" s="14">
        <f t="shared" ref="IM80:IM96" si="169">IL80*$B$21</f>
        <v>1370423.9329572713</v>
      </c>
      <c r="IN80" s="14">
        <f>IM$46/$G47</f>
        <v>1202140.4523451591</v>
      </c>
      <c r="IO80" s="14">
        <f>IM$46-IN80</f>
        <v>7760236.846834166</v>
      </c>
      <c r="IP80" s="14">
        <f t="shared" ref="IP80:IP96" si="170">$B$20*IO80</f>
        <v>232807.10540502498</v>
      </c>
      <c r="IQ80" s="14">
        <f t="shared" ref="IQ80:IQ96" si="171">IN80+IP80</f>
        <v>1434947.5577501841</v>
      </c>
      <c r="IR80" s="14">
        <f>IM80*(VLOOKUP(85,$A$24:$K$72,11,FALSE)-1)</f>
        <v>7591953.3662220491</v>
      </c>
      <c r="NC80" s="15">
        <v>34</v>
      </c>
      <c r="ND80" s="15">
        <f>N80+V80+AC80+AJ80+AQ80+AX80+BE80+BL80+BS80+BZ80+CG80+CN80+CU80+DB80+DI80+DP80+DW80+ED80+EK80+ER80+EY80+FF80+FM80+FT80+GA80+GH80+GO80+GV80+HC80+HJ80+HQ80+HX80+IE80+IL80</f>
        <v>300</v>
      </c>
      <c r="NE80" s="14">
        <f>P80+W80+AD80+AK80+AR80+AY80+BF80+BM80+BT80+CA80+CH80+CO80+CV80+DC80+DJ80+DQ80+DX80+EE80+EL80+ES80+EZ80+FG80+FN80+FU80+GB80+GI80+GP80+GW80+HD80+HK80+HR80+HY80+IF80+IM80</f>
        <v>8999999.9999999981</v>
      </c>
      <c r="NF80" s="14">
        <f>T80+AA80+AH80+AO80+AV80+BC80+BJ80+BQ80+BX80+CE80+CL80+CS80+CZ80+DG80+DN80+DU80+EB80+EI80+EP80+EW80+FD80+FK80+FR80+FY80+GF80+GM80+GT80+HA80+HH80+HO80+HV80+IC80+IJ80+IQ80</f>
        <v>10213007.017217057</v>
      </c>
      <c r="NH80" s="14">
        <f>U80+AB80+AI80+AP80+AW80+BD80+BK80+BR80+BY80+CF80+CM80+CT80+DA80+DH80+DO80+DV80+EC80+EJ80+EQ80+EX80+FE80+FL80+FS80+FZ80+GG80+GN80+GU80+HB80+HI80+HP80+HW80+ID80+IK80+IR80</f>
        <v>40900772.60862311</v>
      </c>
      <c r="NI80" s="14">
        <f>R80+Y80+AF80+AM80+AT80+BA80+BH80+BO80+BV80+CC80+CJ80+CQ80+CX80+DE80+DL80+DS80+DZ80+EG80+EN80+EU80+FB80+FI80+FP80+FW80+GD80+GK80+GR80+GY80+HF80+HM80+HT80+IA80+IH80+IO80</f>
        <v>41758962.514554873</v>
      </c>
    </row>
    <row r="81" spans="1:373" x14ac:dyDescent="0.25">
      <c r="A81" s="1"/>
      <c r="B81" s="3"/>
      <c r="CG81" s="11">
        <f>CG$80*$D$69/$D$47</f>
        <v>1.6939047104881339E-20</v>
      </c>
      <c r="CH81" s="14">
        <f t="shared" si="54"/>
        <v>5.0817141314644013E-16</v>
      </c>
      <c r="CI81" s="14">
        <f t="shared" si="57"/>
        <v>692.54081296002971</v>
      </c>
      <c r="CJ81" s="14">
        <f t="shared" si="58"/>
        <v>346.27040648001491</v>
      </c>
      <c r="CK81" s="14">
        <f t="shared" si="55"/>
        <v>10.388112194400447</v>
      </c>
      <c r="CL81" s="14">
        <f t="shared" si="56"/>
        <v>702.9289251544302</v>
      </c>
      <c r="CM81" s="14">
        <f>CH81*(VLOOKUP(109,$A$24:$K$72,11,FALSE)-1)</f>
        <v>2.4668515201283501E-16</v>
      </c>
      <c r="CN81" s="11">
        <f>CN$80*$D$68/$D$47</f>
        <v>7.6042685912163929E-18</v>
      </c>
      <c r="CO81" s="14">
        <f t="shared" si="59"/>
        <v>2.2812805773649177E-13</v>
      </c>
      <c r="CP81" s="14">
        <f t="shared" si="62"/>
        <v>1393.9187359137266</v>
      </c>
      <c r="CQ81" s="14">
        <f t="shared" si="63"/>
        <v>1068.0205354570974</v>
      </c>
      <c r="CR81" s="14">
        <f t="shared" si="60"/>
        <v>32.040616063712918</v>
      </c>
      <c r="CS81" s="14">
        <f t="shared" si="61"/>
        <v>1425.9593519774394</v>
      </c>
      <c r="CT81" s="14">
        <f>CO81*(VLOOKUP(108,$A$24:$K$72,11,FALSE)-1)</f>
        <v>1.6805311734796303E-13</v>
      </c>
      <c r="CU81" s="11">
        <f>CU$80*$D$67/$D$47</f>
        <v>1.9106576781713125E-15</v>
      </c>
      <c r="CV81" s="14">
        <f t="shared" si="64"/>
        <v>5.7319730345139374E-11</v>
      </c>
      <c r="CW81" s="14">
        <f t="shared" si="67"/>
        <v>2638.2187892180746</v>
      </c>
      <c r="CX81" s="14">
        <f t="shared" si="68"/>
        <v>2509.2064607408856</v>
      </c>
      <c r="CY81" s="14">
        <f t="shared" si="65"/>
        <v>75.27619382222656</v>
      </c>
      <c r="CZ81" s="14">
        <f t="shared" si="66"/>
        <v>2713.4949830403011</v>
      </c>
      <c r="DA81" s="14">
        <f>CV81*(VLOOKUP(107,$A$24:$K$72,11,FALSE)-1)</f>
        <v>5.204365082483634E-11</v>
      </c>
      <c r="DB81" s="11">
        <f>DB$80*$D$66/$D$47</f>
        <v>2.814222854304107E-13</v>
      </c>
      <c r="DC81" s="14">
        <f t="shared" si="69"/>
        <v>8.4426685629123217E-9</v>
      </c>
      <c r="DD81" s="14">
        <f t="shared" si="72"/>
        <v>4738.2331207531115</v>
      </c>
      <c r="DE81" s="14">
        <f t="shared" si="73"/>
        <v>5219.5917682491836</v>
      </c>
      <c r="DF81" s="14">
        <f t="shared" si="70"/>
        <v>156.5877530474755</v>
      </c>
      <c r="DG81" s="14">
        <f t="shared" si="71"/>
        <v>4894.8208738005869</v>
      </c>
      <c r="DH81" s="14">
        <f>DC81*(VLOOKUP(106,$A$24:$K$72,11,FALSE)-1)</f>
        <v>8.8298063621005495E-9</v>
      </c>
      <c r="DI81" s="11">
        <f>DI$80*$D$65/$D$47</f>
        <v>2.5294292134717501E-11</v>
      </c>
      <c r="DJ81" s="14">
        <f t="shared" si="74"/>
        <v>7.5882876404152504E-7</v>
      </c>
      <c r="DK81" s="14">
        <f t="shared" si="77"/>
        <v>8124.2358878914574</v>
      </c>
      <c r="DL81" s="14">
        <f t="shared" si="78"/>
        <v>10059.892121056706</v>
      </c>
      <c r="DM81" s="14">
        <f t="shared" si="75"/>
        <v>301.79676363170114</v>
      </c>
      <c r="DN81" s="14">
        <f t="shared" si="76"/>
        <v>8426.0326515231591</v>
      </c>
      <c r="DO81" s="14">
        <f>DJ81*(VLOOKUP(105,$A$24:$K$72,11,FALSE)-1)</f>
        <v>8.8806372123172135E-7</v>
      </c>
      <c r="DP81" s="11">
        <f>DP$80*$D$64/$D$47</f>
        <v>1.4375795860943771E-9</v>
      </c>
      <c r="DQ81" s="14">
        <f t="shared" si="79"/>
        <v>4.3127387582831317E-5</v>
      </c>
      <c r="DR81" s="14">
        <f t="shared" si="82"/>
        <v>13356.338541461229</v>
      </c>
      <c r="DS81" s="14">
        <f t="shared" si="83"/>
        <v>18310.637583171643</v>
      </c>
      <c r="DT81" s="14">
        <f t="shared" si="80"/>
        <v>549.31912749514925</v>
      </c>
      <c r="DU81" s="14">
        <f t="shared" si="81"/>
        <v>13905.657668956379</v>
      </c>
      <c r="DV81" s="14">
        <f>DQ81*(VLOOKUP(104,$A$24:$K$72,11,FALSE)-1)</f>
        <v>5.5660036037303234E-5</v>
      </c>
      <c r="DW81" s="11">
        <f>DW$80*$D$63/$D$47</f>
        <v>5.3450965016288297E-8</v>
      </c>
      <c r="DX81" s="14">
        <f t="shared" si="84"/>
        <v>1.6035289504886488E-3</v>
      </c>
      <c r="DY81" s="14">
        <f t="shared" si="87"/>
        <v>21171.026612782418</v>
      </c>
      <c r="DZ81" s="14">
        <f t="shared" si="88"/>
        <v>31843.754604718353</v>
      </c>
      <c r="EA81" s="14">
        <f t="shared" si="85"/>
        <v>955.31263814155056</v>
      </c>
      <c r="EB81" s="14">
        <f t="shared" si="86"/>
        <v>22126.339250923967</v>
      </c>
      <c r="EC81" s="14">
        <f>DX81*(VLOOKUP(103,$A$24:$K$72,11,FALSE)-1)</f>
        <v>2.2623055563296252E-3</v>
      </c>
      <c r="ED81" s="11">
        <f>ED$80*$D$62/$D$47</f>
        <v>1.3378679976434458E-6</v>
      </c>
      <c r="EE81" s="14">
        <f t="shared" si="89"/>
        <v>4.0136039929303376E-2</v>
      </c>
      <c r="EF81" s="14">
        <f t="shared" si="92"/>
        <v>32429.460006073714</v>
      </c>
      <c r="EG81" s="14">
        <f t="shared" si="93"/>
        <v>53198.865648028077</v>
      </c>
      <c r="EH81" s="14">
        <f t="shared" si="90"/>
        <v>1595.9659694408422</v>
      </c>
      <c r="EI81" s="14">
        <f t="shared" si="91"/>
        <v>34025.425975514554</v>
      </c>
      <c r="EJ81" s="14">
        <f>EE81*(VLOOKUP(102,$A$24:$K$72,11,FALSE)-1)</f>
        <v>6.1541963442323606E-2</v>
      </c>
      <c r="EK81" s="11">
        <f>EK$80*$D$61/$D$47</f>
        <v>2.3164531812132116E-5</v>
      </c>
      <c r="EL81" s="14">
        <f t="shared" si="94"/>
        <v>0.69493595436396349</v>
      </c>
      <c r="EM81" s="14">
        <f t="shared" si="97"/>
        <v>48152.416949006845</v>
      </c>
      <c r="EN81" s="14">
        <f t="shared" si="98"/>
        <v>85771.33359093382</v>
      </c>
      <c r="EO81" s="14">
        <f t="shared" si="95"/>
        <v>2573.1400077280146</v>
      </c>
      <c r="EP81" s="14">
        <f t="shared" si="96"/>
        <v>50725.556956734858</v>
      </c>
      <c r="EQ81" s="14">
        <f>EL81*(VLOOKUP(101,$A$24:$K$72,11,FALSE)-1)</f>
        <v>1.1530453353795242</v>
      </c>
      <c r="ER81" s="11">
        <f>ER$80*$D$60/$D$47</f>
        <v>2.8461358721781129E-4</v>
      </c>
      <c r="ES81" s="14">
        <f t="shared" si="99"/>
        <v>8.5384076165343394</v>
      </c>
      <c r="ET81" s="14">
        <f t="shared" si="102"/>
        <v>69522.992075312606</v>
      </c>
      <c r="EU81" s="14">
        <f t="shared" si="103"/>
        <v>133998.89025590848</v>
      </c>
      <c r="EV81" s="14">
        <f t="shared" si="100"/>
        <v>4019.9667076772544</v>
      </c>
      <c r="EW81" s="14">
        <f t="shared" si="101"/>
        <v>73542.958782989866</v>
      </c>
      <c r="EX81" s="14">
        <f>ES81*(VLOOKUP(100,$A$24:$K$72,11,FALSE)-1)</f>
        <v>15.276563931305786</v>
      </c>
      <c r="EY81" s="11">
        <f>EY$80*$D$59/$D$47</f>
        <v>2.5403824809340897E-3</v>
      </c>
      <c r="EZ81" s="14">
        <f t="shared" si="104"/>
        <v>76.211474428022697</v>
      </c>
      <c r="FA81" s="14">
        <f t="shared" si="107"/>
        <v>97873.599228546009</v>
      </c>
      <c r="FB81" s="14">
        <f t="shared" si="108"/>
        <v>203540.65523606841</v>
      </c>
      <c r="FC81" s="14">
        <f t="shared" si="105"/>
        <v>6106.2196570820524</v>
      </c>
      <c r="FD81" s="14">
        <f t="shared" si="106"/>
        <v>103979.81888562806</v>
      </c>
      <c r="FE81" s="14">
        <f>EZ81*(VLOOKUP(99,$A$24:$K$72,11,FALSE)-1)</f>
        <v>146.60854208678518</v>
      </c>
      <c r="FF81" s="11">
        <f>FF$80*$D$58/$D$47</f>
        <v>1.6889261022109726E-2</v>
      </c>
      <c r="FG81" s="14">
        <f t="shared" si="109"/>
        <v>506.67783066329179</v>
      </c>
      <c r="FH81" s="14">
        <f t="shared" si="112"/>
        <v>134666.87516988916</v>
      </c>
      <c r="FI81" s="14">
        <f t="shared" si="113"/>
        <v>301421.29340021918</v>
      </c>
      <c r="FJ81" s="14">
        <f t="shared" si="110"/>
        <v>9042.6388020065751</v>
      </c>
      <c r="FK81" s="14">
        <f t="shared" si="111"/>
        <v>143709.51397189574</v>
      </c>
      <c r="FL81" s="14">
        <f>FG81*(VLOOKUP(98,$A$24:$K$72,11,FALSE)-1)</f>
        <v>1045.3059793843918</v>
      </c>
      <c r="FM81" s="11">
        <f>FM$80*$D$57/$D$47</f>
        <v>8.5800777228604214E-2</v>
      </c>
      <c r="FN81" s="14">
        <f t="shared" si="114"/>
        <v>2574.0233168581262</v>
      </c>
      <c r="FO81" s="14">
        <f t="shared" si="117"/>
        <v>180797.23583628191</v>
      </c>
      <c r="FP81" s="14">
        <f t="shared" si="118"/>
        <v>436117.26706257393</v>
      </c>
      <c r="FQ81" s="14">
        <f t="shared" si="115"/>
        <v>13083.518011877217</v>
      </c>
      <c r="FR81" s="14">
        <f t="shared" si="116"/>
        <v>193880.75384815913</v>
      </c>
      <c r="FS81" s="14">
        <f>FN81*(VLOOKUP(97,$A$24:$K$72,11,FALSE)-1)</f>
        <v>5702.0170324384726</v>
      </c>
      <c r="FT81" s="11">
        <f>FT$80*$D$56/$D$47</f>
        <v>0.34174457952212001</v>
      </c>
      <c r="FU81" s="14">
        <f t="shared" si="119"/>
        <v>10252.337385663601</v>
      </c>
      <c r="FV81" s="14">
        <f t="shared" si="122"/>
        <v>236637.92068823837</v>
      </c>
      <c r="FW81" s="14">
        <f t="shared" si="123"/>
        <v>616975.23770081915</v>
      </c>
      <c r="FX81" s="14">
        <f t="shared" si="120"/>
        <v>18509.257131024573</v>
      </c>
      <c r="FY81" s="14">
        <f t="shared" si="121"/>
        <v>255147.17781926296</v>
      </c>
      <c r="FZ81" s="14">
        <f>FU81*(VLOOKUP(96,$A$24:$K$72,11,FALSE)-1)</f>
        <v>24453.779242759927</v>
      </c>
      <c r="GA81" s="11">
        <f>GA$80*$D$55/$D$47</f>
        <v>1.0944867168930674</v>
      </c>
      <c r="GB81" s="14">
        <f t="shared" si="124"/>
        <v>32834.601506792023</v>
      </c>
      <c r="GC81" s="14">
        <f t="shared" si="127"/>
        <v>301855.72495144181</v>
      </c>
      <c r="GD81" s="14">
        <f t="shared" si="128"/>
        <v>853674.36510304734</v>
      </c>
      <c r="GE81" s="14">
        <f t="shared" si="125"/>
        <v>25610.230953091421</v>
      </c>
      <c r="GF81" s="14">
        <f t="shared" si="126"/>
        <v>327465.95590453321</v>
      </c>
      <c r="GG81" s="14">
        <f>GB81*(VLOOKUP(95,$A$24:$K$72,11,FALSE)-1)</f>
        <v>84604.55005998486</v>
      </c>
      <c r="GH81" s="11">
        <f>GH$80*$D$54/$D$47</f>
        <v>2.8883021760591592</v>
      </c>
      <c r="GI81" s="14">
        <f t="shared" si="129"/>
        <v>86649.065281774776</v>
      </c>
      <c r="GJ81" s="14">
        <f t="shared" si="132"/>
        <v>375373.7092779238</v>
      </c>
      <c r="GK81" s="14">
        <f t="shared" si="133"/>
        <v>1155462.2359766914</v>
      </c>
      <c r="GL81" s="14">
        <f t="shared" si="130"/>
        <v>34663.86707930074</v>
      </c>
      <c r="GM81" s="14">
        <f t="shared" si="131"/>
        <v>410037.57635722455</v>
      </c>
      <c r="GN81" s="14">
        <f>GI81*(VLOOKUP(94,$A$24:$K$72,11,FALSE)-1)</f>
        <v>241945.68147690091</v>
      </c>
      <c r="GO81" s="11">
        <f>GO$80*$D$53/$D$47</f>
        <v>6.4301693348102162</v>
      </c>
      <c r="GP81" s="14">
        <f t="shared" si="134"/>
        <v>192905.08004430649</v>
      </c>
      <c r="GQ81" s="14">
        <f t="shared" si="137"/>
        <v>455966.66269466333</v>
      </c>
      <c r="GR81" s="14">
        <f t="shared" si="138"/>
        <v>1532419.9757224172</v>
      </c>
      <c r="GS81" s="14">
        <f t="shared" si="135"/>
        <v>45972.599271672516</v>
      </c>
      <c r="GT81" s="14">
        <f t="shared" si="136"/>
        <v>501939.26196633582</v>
      </c>
      <c r="GU81" s="14">
        <f>GP81*(VLOOKUP(93,$A$24:$K$72,11,FALSE)-1)</f>
        <v>585306.15086382092</v>
      </c>
      <c r="GV81" s="11">
        <f>GV$80*$D$52/$D$47</f>
        <v>12.218788086766535</v>
      </c>
      <c r="GW81" s="14">
        <f t="shared" si="139"/>
        <v>366563.64260299609</v>
      </c>
      <c r="GX81" s="14">
        <f t="shared" si="142"/>
        <v>540210.3598520715</v>
      </c>
      <c r="GY81" s="14">
        <f t="shared" si="143"/>
        <v>1985197.1706584049</v>
      </c>
      <c r="GZ81" s="14">
        <f t="shared" si="140"/>
        <v>59555.915119752142</v>
      </c>
      <c r="HA81" s="14">
        <f t="shared" si="141"/>
        <v>599766.27497182367</v>
      </c>
      <c r="HB81" s="14">
        <f>GW81*(VLOOKUP(92,$A$24:$K$72,11,FALSE)-1)</f>
        <v>1209870.7747265007</v>
      </c>
      <c r="HC81" s="11">
        <f>HC$80*$D$51/$D$47</f>
        <v>20.177516669091521</v>
      </c>
      <c r="HD81" s="14">
        <f t="shared" si="144"/>
        <v>605325.50007274561</v>
      </c>
      <c r="HE81" s="14">
        <f t="shared" si="147"/>
        <v>631477.60134090798</v>
      </c>
      <c r="HF81" s="14">
        <f t="shared" si="148"/>
        <v>2526380.7024418912</v>
      </c>
      <c r="HG81" s="14">
        <f t="shared" si="145"/>
        <v>75791.42107325673</v>
      </c>
      <c r="HH81" s="14">
        <f t="shared" si="146"/>
        <v>707269.02241416473</v>
      </c>
      <c r="HI81" s="14">
        <f>HD81*(VLOOKUP(91,$A$24:$K$72,11,FALSE)-1)</f>
        <v>2162970.2564382404</v>
      </c>
      <c r="HJ81" s="11">
        <f>HJ$80*$D$50/$D$47</f>
        <v>29.332485019154682</v>
      </c>
      <c r="HK81" s="14">
        <f t="shared" si="149"/>
        <v>879974.55057464039</v>
      </c>
      <c r="HL81" s="14">
        <f t="shared" si="152"/>
        <v>728229.26705652883</v>
      </c>
      <c r="HM81" s="14">
        <f t="shared" si="153"/>
        <v>3158436.5997940158</v>
      </c>
      <c r="HN81" s="14">
        <f t="shared" si="150"/>
        <v>94753.097993820469</v>
      </c>
      <c r="HO81" s="14">
        <f t="shared" si="151"/>
        <v>822982.36505034927</v>
      </c>
      <c r="HP81" s="14">
        <f>HK81*(VLOOKUP(90,$A$24:$K$72,11,FALSE)-1)</f>
        <v>3388642.4847523319</v>
      </c>
      <c r="HQ81" s="11">
        <f>HQ$80*$D$49/$D$47</f>
        <v>38.245010358190825</v>
      </c>
      <c r="HR81" s="14">
        <f t="shared" si="154"/>
        <v>1147350.3107457247</v>
      </c>
      <c r="HS81" s="14">
        <f t="shared" si="157"/>
        <v>827124.0196229436</v>
      </c>
      <c r="HT81" s="14">
        <f t="shared" si="158"/>
        <v>3886951.0424137702</v>
      </c>
      <c r="HU81" s="14">
        <f t="shared" si="155"/>
        <v>116608.53127241311</v>
      </c>
      <c r="HV81" s="14">
        <f t="shared" si="156"/>
        <v>943732.55089535669</v>
      </c>
      <c r="HW81" s="14">
        <f>HR81*(VLOOKUP(89,$A$24:$K$72,11,FALSE)-1)</f>
        <v>4757789.8357824991</v>
      </c>
      <c r="HX81" s="11">
        <f>HX$80*$D$48/$D$47</f>
        <v>45.309863716743699</v>
      </c>
      <c r="HY81" s="14">
        <f t="shared" si="159"/>
        <v>1359295.911502311</v>
      </c>
      <c r="HZ81" s="14">
        <f t="shared" si="162"/>
        <v>922107.54102269222</v>
      </c>
      <c r="IA81" s="14">
        <f t="shared" si="163"/>
        <v>4714111.7925368622</v>
      </c>
      <c r="IB81" s="14">
        <f t="shared" si="160"/>
        <v>141423.35377610585</v>
      </c>
      <c r="IC81" s="14">
        <f t="shared" si="161"/>
        <v>1063530.894798798</v>
      </c>
      <c r="ID81" s="14">
        <f>HY81*(VLOOKUP(88,$A$24:$K$72,11,FALSE)-1)</f>
        <v>6092610.3025903255</v>
      </c>
      <c r="IE81" s="11">
        <f>IE$80*$D$47/$D$47</f>
        <v>49.088786337562532</v>
      </c>
      <c r="IF81" s="14">
        <f t="shared" si="164"/>
        <v>1472663.590126876</v>
      </c>
      <c r="IG81" s="14">
        <f t="shared" si="167"/>
        <v>1014734.1714092481</v>
      </c>
      <c r="IH81" s="14">
        <f t="shared" si="168"/>
        <v>5636105.6476293318</v>
      </c>
      <c r="II81" s="14">
        <f t="shared" si="165"/>
        <v>169083.16942887995</v>
      </c>
      <c r="IJ81" s="14">
        <f t="shared" si="166"/>
        <v>1183817.340838128</v>
      </c>
      <c r="IK81" s="14">
        <f>IF81*(VLOOKUP(87,$A$24:$K$72,11,FALSE)-1)</f>
        <v>7122627.3449505698</v>
      </c>
      <c r="IL81" s="11">
        <f>IL$80*$D$46/$D$47</f>
        <v>49.087468047756694</v>
      </c>
      <c r="IM81" s="14">
        <f t="shared" si="169"/>
        <v>1472624.0414327008</v>
      </c>
      <c r="IN81" s="14">
        <f t="shared" ref="IN81:IN96" si="172">IO80/$G48</f>
        <v>1109575.6375145817</v>
      </c>
      <c r="IO81" s="14">
        <f t="shared" ref="IO81:IO96" si="173">IO80-IN81</f>
        <v>6650661.2093195841</v>
      </c>
      <c r="IP81" s="14">
        <f t="shared" si="170"/>
        <v>199519.83627958753</v>
      </c>
      <c r="IQ81" s="14">
        <f t="shared" si="171"/>
        <v>1309095.4737941693</v>
      </c>
      <c r="IR81" s="14">
        <f>IM81*(VLOOKUP(86,$A$24:$K$72,11,FALSE)-1)</f>
        <v>7631245.1141613107</v>
      </c>
      <c r="IS81" s="11">
        <f>($N80-$N81)+(IL80-IL81)+(IE80-IE81)+(HX80-HX81)+(HQ80-HQ81)+(HJ80-HJ81)+(HC80-HC81)+(GV80-GV81)+(GO80-GO81)+(GH80-GH81)+(GA80-GA81)+(FT80-FT81)+(FM80-FM81)+(FF80-FF81)+(EY80-EY81)+(ER80-ER81)+(EK80-EK81)+(ED80-ED81)+(DW80-DW81)+(DP80-DP81)+(DI80-DI81)+(DB80-DB81)+(CU80-CU81)+(CN80-CN81)+(CG80-CG81)+(BZ80-BZ81)+(BS80-BS81)+(BL80-BL81)+(BE80-BE81)+(AX80-AX81)+(AQ80-AQ81)+(AJ80-AJ81)+(AC80-AC81)+(V80-V81)</f>
        <v>45.679839365816115</v>
      </c>
      <c r="IT81" s="14">
        <f t="shared" ref="IT81:IT96" si="174">IS81*$B$21</f>
        <v>1370395.1809744835</v>
      </c>
      <c r="IU81" s="14">
        <f>IT$46/$G47</f>
        <v>1202115.2310098012</v>
      </c>
      <c r="IV81" s="14">
        <f>IT$46-IU81</f>
        <v>7760074.034297918</v>
      </c>
      <c r="IW81" s="14">
        <f t="shared" ref="IW81:IW96" si="175">$B$20*IV81</f>
        <v>232802.22102893752</v>
      </c>
      <c r="IX81" s="14">
        <f t="shared" ref="IX81:IX96" si="176">IU81+IW81</f>
        <v>1434917.4520387386</v>
      </c>
      <c r="IY81" s="14">
        <f>IT81*(VLOOKUP(85,$A$24:$K$72,11,FALSE)-1)</f>
        <v>7591794.0843332391</v>
      </c>
      <c r="NC81" s="15">
        <v>35</v>
      </c>
      <c r="ND81" s="15">
        <f>N81+V81+AC81+AJ81+AQ81+AX81+BE81+BL81+BS81+BZ81+CG81+CN81+CU81+DB81+DI81+DP81+DW81+ED81+EK81+ER81+EY81+FF81+FM81+FT81+GA81+GH81+GO81+GV81+HC81+HJ81+HQ81+HX81+IE81+IL81+IS81</f>
        <v>299.99999999999994</v>
      </c>
      <c r="NE81" s="14">
        <f>P81+W81+AD81+AK81+AR81+AY81+BF81+BM81+BT81+CA81+CH81+CO81+CV81+DC81+DJ81+DQ81+DX81+EE81+EL81+ES81+EZ81+FG81+FN81+FU81+GB81+GI81+GP81+GW81+HD81+HK81+HR81+HY81+IF81+IM81+IT81</f>
        <v>9000000</v>
      </c>
      <c r="NF81" s="14">
        <f>T81+AA81+AH81+AO81+AV81+BC81+BJ81+BQ81+BX81+CE81+CL81+CS81+CZ81+DG81+DN81+DU81+EB81+EI81+EP81+EW81+FD81+FK81+FR81+FY81+GF81+GM81+GT81+HA81+HH81+HO81+HV81+IC81+IJ81+IQ81+IX81</f>
        <v>10213760.608975183</v>
      </c>
      <c r="NH81" s="14">
        <f>U81+AB81+AI81+AP81+AW81+BD81+BK81+BR81+BY81+CF81+CM81+CT81+DA81+DH81+DO81+DV81+EC81+EJ81+EQ81+EX81+FE81+FL81+FS81+FZ81+GG81+GN81+GU81+HB81+HI81+HP81+HW81+ID81+IK81+IR81+IY81</f>
        <v>40900770.78440249</v>
      </c>
      <c r="NI81" s="14">
        <f>R81+Y81+AF81+AM81+AT81+BA81+BH81+BO81+BV81+CC81+CJ81+CQ81+CX81+DE81+DL81+DS81+DZ81+EG81+EN81+EU81+FB81+FI81+FP81+FW81+GD81+GK81+GR81+GY81+HF81+HM81+HT81+IA81+IH81+IO81+IV81</f>
        <v>41759855.692268364</v>
      </c>
    </row>
    <row r="82" spans="1:373" x14ac:dyDescent="0.25">
      <c r="A82" s="1"/>
      <c r="B82" s="3"/>
      <c r="CN82" s="11">
        <f>CN$81*$D$69/$D$47</f>
        <v>1.7415339592539412E-20</v>
      </c>
      <c r="CO82" s="14">
        <f t="shared" si="59"/>
        <v>5.2246018777618235E-16</v>
      </c>
      <c r="CP82" s="14">
        <f t="shared" si="62"/>
        <v>712.01369030473154</v>
      </c>
      <c r="CQ82" s="14">
        <f t="shared" si="63"/>
        <v>356.00684515236583</v>
      </c>
      <c r="CR82" s="14">
        <f t="shared" si="60"/>
        <v>10.680205354570974</v>
      </c>
      <c r="CS82" s="14">
        <f t="shared" si="61"/>
        <v>722.69389565930248</v>
      </c>
      <c r="CT82" s="14">
        <f>CO82*(VLOOKUP(109,$A$24:$K$72,11,FALSE)-1)</f>
        <v>2.5362145037678753E-16</v>
      </c>
      <c r="CU82" s="11">
        <f>CU$81*$D$68/$D$47</f>
        <v>7.750264232823625E-18</v>
      </c>
      <c r="CV82" s="14">
        <f t="shared" si="64"/>
        <v>2.3250792698470876E-13</v>
      </c>
      <c r="CW82" s="14">
        <f t="shared" si="67"/>
        <v>1420.6808179939337</v>
      </c>
      <c r="CX82" s="14">
        <f t="shared" si="68"/>
        <v>1088.5256427469519</v>
      </c>
      <c r="CY82" s="14">
        <f t="shared" si="65"/>
        <v>32.655769282408556</v>
      </c>
      <c r="CZ82" s="14">
        <f t="shared" si="66"/>
        <v>1453.3365872763422</v>
      </c>
      <c r="DA82" s="14">
        <f>CV82*(VLOOKUP(108,$A$24:$K$72,11,FALSE)-1)</f>
        <v>1.7127959763295081E-13</v>
      </c>
      <c r="DB82" s="11">
        <f>DB$81*$D$67/$D$47</f>
        <v>1.9374449563895269E-15</v>
      </c>
      <c r="DC82" s="14">
        <f t="shared" si="69"/>
        <v>5.8123348691685807E-11</v>
      </c>
      <c r="DD82" s="14">
        <f t="shared" si="72"/>
        <v>2675.2064199772071</v>
      </c>
      <c r="DE82" s="14">
        <f t="shared" si="73"/>
        <v>2544.3853482719765</v>
      </c>
      <c r="DF82" s="14">
        <f t="shared" si="70"/>
        <v>76.331560448159294</v>
      </c>
      <c r="DG82" s="14">
        <f t="shared" si="71"/>
        <v>2751.5379804253666</v>
      </c>
      <c r="DH82" s="14">
        <f>DC82*(VLOOKUP(107,$A$24:$K$72,11,FALSE)-1)</f>
        <v>5.277329892981284E-11</v>
      </c>
      <c r="DI82" s="11">
        <f>DI$81*$D$66/$D$47</f>
        <v>2.8430685048678461E-13</v>
      </c>
      <c r="DJ82" s="14">
        <f t="shared" si="74"/>
        <v>8.5292055146035387E-9</v>
      </c>
      <c r="DK82" s="14">
        <f t="shared" si="77"/>
        <v>4786.7997851456466</v>
      </c>
      <c r="DL82" s="14">
        <f t="shared" si="78"/>
        <v>5273.0923359110593</v>
      </c>
      <c r="DM82" s="14">
        <f t="shared" si="75"/>
        <v>158.19277007733177</v>
      </c>
      <c r="DN82" s="14">
        <f t="shared" si="76"/>
        <v>4944.9925552229788</v>
      </c>
      <c r="DO82" s="14">
        <f>DJ82*(VLOOKUP(106,$A$24:$K$72,11,FALSE)-1)</f>
        <v>8.9203114578420219E-9</v>
      </c>
      <c r="DP82" s="11">
        <f>DP$81*$D$65/$D$47</f>
        <v>2.5470268135693357E-11</v>
      </c>
      <c r="DQ82" s="14">
        <f t="shared" si="79"/>
        <v>7.6410804407080071E-7</v>
      </c>
      <c r="DR82" s="14">
        <f t="shared" si="82"/>
        <v>8180.7573566450046</v>
      </c>
      <c r="DS82" s="14">
        <f t="shared" si="83"/>
        <v>10129.880226526639</v>
      </c>
      <c r="DT82" s="14">
        <f t="shared" si="80"/>
        <v>303.89640679579912</v>
      </c>
      <c r="DU82" s="14">
        <f t="shared" si="81"/>
        <v>8484.6537634408032</v>
      </c>
      <c r="DV82" s="14">
        <f>DQ82*(VLOOKUP(105,$A$24:$K$72,11,FALSE)-1)</f>
        <v>8.9424210730561342E-7</v>
      </c>
      <c r="DW82" s="11">
        <f>DW$81*$D$64/$D$47</f>
        <v>1.4456047645399439E-9</v>
      </c>
      <c r="DX82" s="14">
        <f t="shared" si="84"/>
        <v>4.3368142936198321E-5</v>
      </c>
      <c r="DY82" s="14">
        <f t="shared" si="87"/>
        <v>13430.899283149161</v>
      </c>
      <c r="DZ82" s="14">
        <f t="shared" si="88"/>
        <v>18412.855321569194</v>
      </c>
      <c r="EA82" s="14">
        <f t="shared" si="85"/>
        <v>552.38565964707584</v>
      </c>
      <c r="EB82" s="14">
        <f t="shared" si="86"/>
        <v>13983.284942796237</v>
      </c>
      <c r="EC82" s="14">
        <f>DX82*(VLOOKUP(104,$A$24:$K$72,11,FALSE)-1)</f>
        <v>5.5970753945241526E-5</v>
      </c>
      <c r="ED82" s="11">
        <f>ED$81*$D$63/$D$47</f>
        <v>5.3636564017740158E-8</v>
      </c>
      <c r="EE82" s="14">
        <f t="shared" si="89"/>
        <v>1.6090969205322047E-3</v>
      </c>
      <c r="EF82" s="14">
        <f t="shared" si="92"/>
        <v>21244.53924997889</v>
      </c>
      <c r="EG82" s="14">
        <f t="shared" si="93"/>
        <v>31954.326398049187</v>
      </c>
      <c r="EH82" s="14">
        <f t="shared" si="90"/>
        <v>958.62979194147556</v>
      </c>
      <c r="EI82" s="14">
        <f t="shared" si="91"/>
        <v>22203.169041920366</v>
      </c>
      <c r="EJ82" s="14">
        <f>EE82*(VLOOKUP(103,$A$24:$K$72,11,FALSE)-1)</f>
        <v>2.2701610113640821E-3</v>
      </c>
      <c r="EK82" s="11">
        <f>EK$81*$D$62/$D$47</f>
        <v>1.3401023720824538E-6</v>
      </c>
      <c r="EL82" s="14">
        <f t="shared" si="94"/>
        <v>4.0203071162473611E-2</v>
      </c>
      <c r="EM82" s="14">
        <f t="shared" si="97"/>
        <v>32483.620473800005</v>
      </c>
      <c r="EN82" s="14">
        <f t="shared" si="98"/>
        <v>53287.713117133811</v>
      </c>
      <c r="EO82" s="14">
        <f t="shared" si="95"/>
        <v>1598.6313935140142</v>
      </c>
      <c r="EP82" s="14">
        <f t="shared" si="96"/>
        <v>34082.251867314022</v>
      </c>
      <c r="EQ82" s="14">
        <f>EL82*(VLOOKUP(102,$A$24:$K$72,11,FALSE)-1)</f>
        <v>6.1644744725891265E-2</v>
      </c>
      <c r="ER82" s="11">
        <f>ER$81*$D$61/$D$47</f>
        <v>2.3177528583308805E-5</v>
      </c>
      <c r="ES82" s="14">
        <f t="shared" si="99"/>
        <v>0.69532585749926412</v>
      </c>
      <c r="ET82" s="14">
        <f t="shared" si="102"/>
        <v>48179.433508191636</v>
      </c>
      <c r="EU82" s="14">
        <f t="shared" si="103"/>
        <v>85819.456747716846</v>
      </c>
      <c r="EV82" s="14">
        <f t="shared" si="100"/>
        <v>2574.5837024315051</v>
      </c>
      <c r="EW82" s="14">
        <f t="shared" si="101"/>
        <v>50754.01721062314</v>
      </c>
      <c r="EX82" s="14">
        <f>ES82*(VLOOKUP(101,$A$24:$K$72,11,FALSE)-1)</f>
        <v>1.1536922669256402</v>
      </c>
      <c r="EY82" s="11">
        <f>EY$81*$D$60/$D$47</f>
        <v>2.8463984004001313E-4</v>
      </c>
      <c r="EZ82" s="14">
        <f t="shared" si="104"/>
        <v>8.5391952012003944</v>
      </c>
      <c r="FA82" s="14">
        <f t="shared" si="107"/>
        <v>69529.404891959071</v>
      </c>
      <c r="FB82" s="14">
        <f t="shared" si="108"/>
        <v>134011.25034410934</v>
      </c>
      <c r="FC82" s="14">
        <f t="shared" si="105"/>
        <v>4020.3375103232802</v>
      </c>
      <c r="FD82" s="14">
        <f t="shared" si="106"/>
        <v>73549.742402282354</v>
      </c>
      <c r="FE82" s="14">
        <f>EZ82*(VLOOKUP(100,$A$24:$K$72,11,FALSE)-1)</f>
        <v>15.277973045047206</v>
      </c>
      <c r="FF82" s="11">
        <f>FF$81*$D$59/$D$47</f>
        <v>2.5404418065579767E-3</v>
      </c>
      <c r="FG82" s="14">
        <f t="shared" si="109"/>
        <v>76.2132541967393</v>
      </c>
      <c r="FH82" s="14">
        <f t="shared" si="112"/>
        <v>97875.884873475428</v>
      </c>
      <c r="FI82" s="14">
        <f t="shared" si="113"/>
        <v>203545.40852674376</v>
      </c>
      <c r="FJ82" s="14">
        <f t="shared" si="110"/>
        <v>6106.3622558023126</v>
      </c>
      <c r="FK82" s="14">
        <f t="shared" si="111"/>
        <v>103982.24712927773</v>
      </c>
      <c r="FL82" s="14">
        <f>FG82*(VLOOKUP(99,$A$24:$K$72,11,FALSE)-1)</f>
        <v>146.61196584021275</v>
      </c>
      <c r="FM82" s="11">
        <f>FM$81*$D$58/$D$47</f>
        <v>1.6890387977780679E-2</v>
      </c>
      <c r="FN82" s="14">
        <f t="shared" si="114"/>
        <v>506.71163933342035</v>
      </c>
      <c r="FO82" s="14">
        <f t="shared" si="117"/>
        <v>134675.86097444638</v>
      </c>
      <c r="FP82" s="14">
        <f t="shared" si="118"/>
        <v>301441.40608812752</v>
      </c>
      <c r="FQ82" s="14">
        <f t="shared" si="115"/>
        <v>9043.2421826438258</v>
      </c>
      <c r="FR82" s="14">
        <f t="shared" si="116"/>
        <v>143719.1031570902</v>
      </c>
      <c r="FS82" s="14">
        <f>FN82*(VLOOKUP(98,$A$24:$K$72,11,FALSE)-1)</f>
        <v>1045.3757286469443</v>
      </c>
      <c r="FT82" s="11">
        <f>FT$81*$D$57/$D$47</f>
        <v>8.580922425519999E-2</v>
      </c>
      <c r="FU82" s="14">
        <f t="shared" si="119"/>
        <v>2574.2767276559998</v>
      </c>
      <c r="FV82" s="14">
        <f t="shared" si="122"/>
        <v>180815.03519788294</v>
      </c>
      <c r="FW82" s="14">
        <f t="shared" si="123"/>
        <v>436160.20250293624</v>
      </c>
      <c r="FX82" s="14">
        <f t="shared" si="120"/>
        <v>13084.806075088087</v>
      </c>
      <c r="FY82" s="14">
        <f t="shared" si="121"/>
        <v>193899.84127297104</v>
      </c>
      <c r="FZ82" s="14">
        <f>FU82*(VLOOKUP(97,$A$24:$K$72,11,FALSE)-1)</f>
        <v>5702.5783920330869</v>
      </c>
      <c r="GA82" s="11">
        <f>GA$81*$D$56/$D$47</f>
        <v>0.34176908366961495</v>
      </c>
      <c r="GB82" s="14">
        <f t="shared" si="124"/>
        <v>10253.072510088448</v>
      </c>
      <c r="GC82" s="14">
        <f t="shared" si="127"/>
        <v>236654.88836193035</v>
      </c>
      <c r="GD82" s="14">
        <f t="shared" si="128"/>
        <v>617019.47674111696</v>
      </c>
      <c r="GE82" s="14">
        <f t="shared" si="125"/>
        <v>18510.584302233507</v>
      </c>
      <c r="GF82" s="14">
        <f t="shared" si="126"/>
        <v>255165.47266416386</v>
      </c>
      <c r="GG82" s="14">
        <f>GB82*(VLOOKUP(96,$A$24:$K$72,11,FALSE)-1)</f>
        <v>24455.532654662496</v>
      </c>
      <c r="GH82" s="11">
        <f>GH$81*$D$55/$D$47</f>
        <v>1.0944224473535058</v>
      </c>
      <c r="GI82" s="14">
        <f t="shared" si="129"/>
        <v>32832.673420605177</v>
      </c>
      <c r="GJ82" s="14">
        <f t="shared" si="132"/>
        <v>301837.99963037844</v>
      </c>
      <c r="GK82" s="14">
        <f t="shared" si="133"/>
        <v>853624.23634631291</v>
      </c>
      <c r="GL82" s="14">
        <f t="shared" si="130"/>
        <v>25608.727090389388</v>
      </c>
      <c r="GM82" s="14">
        <f t="shared" si="131"/>
        <v>327446.72672076785</v>
      </c>
      <c r="GN82" s="14">
        <f>GI82*(VLOOKUP(95,$A$24:$K$72,11,FALSE)-1)</f>
        <v>84599.581981895608</v>
      </c>
      <c r="GO82" s="11">
        <f>GO$81*$D$54/$D$47</f>
        <v>2.891290842912241</v>
      </c>
      <c r="GP82" s="14">
        <f t="shared" si="134"/>
        <v>86738.725287367226</v>
      </c>
      <c r="GQ82" s="14">
        <f t="shared" si="137"/>
        <v>375762.12672667217</v>
      </c>
      <c r="GR82" s="14">
        <f t="shared" si="138"/>
        <v>1156657.8489957452</v>
      </c>
      <c r="GS82" s="14">
        <f t="shared" si="135"/>
        <v>34699.735469872357</v>
      </c>
      <c r="GT82" s="14">
        <f t="shared" si="136"/>
        <v>410461.86219654453</v>
      </c>
      <c r="GU82" s="14">
        <f>GP82*(VLOOKUP(94,$A$24:$K$72,11,FALSE)-1)</f>
        <v>242196.03445051634</v>
      </c>
      <c r="GV82" s="11">
        <f>GV$81*$D$53/$D$47</f>
        <v>6.4198550340701308</v>
      </c>
      <c r="GW82" s="14">
        <f t="shared" si="139"/>
        <v>192595.65102210394</v>
      </c>
      <c r="GX82" s="14">
        <f t="shared" si="142"/>
        <v>455235.27024734067</v>
      </c>
      <c r="GY82" s="14">
        <f t="shared" si="143"/>
        <v>1529961.9004110643</v>
      </c>
      <c r="GZ82" s="14">
        <f t="shared" si="140"/>
        <v>45898.85701233193</v>
      </c>
      <c r="HA82" s="14">
        <f t="shared" si="141"/>
        <v>501134.12725967262</v>
      </c>
      <c r="HB82" s="14">
        <f>GW82*(VLOOKUP(93,$A$24:$K$72,11,FALSE)-1)</f>
        <v>584367.29165954632</v>
      </c>
      <c r="HC82" s="11">
        <f>HC$81*$D$52/$D$47</f>
        <v>12.223496626460953</v>
      </c>
      <c r="HD82" s="14">
        <f t="shared" si="144"/>
        <v>366704.89879382862</v>
      </c>
      <c r="HE82" s="14">
        <f t="shared" si="147"/>
        <v>540418.53122754907</v>
      </c>
      <c r="HF82" s="14">
        <f t="shared" si="148"/>
        <v>1985962.1712143421</v>
      </c>
      <c r="HG82" s="14">
        <f t="shared" si="145"/>
        <v>59578.865136430264</v>
      </c>
      <c r="HH82" s="14">
        <f t="shared" si="146"/>
        <v>599997.39636397932</v>
      </c>
      <c r="HI82" s="14">
        <f>HD82*(VLOOKUP(92,$A$24:$K$72,11,FALSE)-1)</f>
        <v>1210337.0013708668</v>
      </c>
      <c r="HJ82" s="11">
        <f>HJ$81*$D$51/$D$47</f>
        <v>20.181211761234184</v>
      </c>
      <c r="HK82" s="14">
        <f t="shared" si="149"/>
        <v>605436.35283702554</v>
      </c>
      <c r="HL82" s="14">
        <f t="shared" si="152"/>
        <v>631593.24331812735</v>
      </c>
      <c r="HM82" s="14">
        <f t="shared" si="153"/>
        <v>2526843.3564758883</v>
      </c>
      <c r="HN82" s="14">
        <f t="shared" si="150"/>
        <v>75805.300694276651</v>
      </c>
      <c r="HO82" s="14">
        <f t="shared" si="151"/>
        <v>707398.54401240405</v>
      </c>
      <c r="HP82" s="14">
        <f>HK82*(VLOOKUP(91,$A$24:$K$72,11,FALSE)-1)</f>
        <v>2163366.3594141644</v>
      </c>
      <c r="HQ82" s="11">
        <f>HQ$81*$D$50/$D$47</f>
        <v>29.334637225756065</v>
      </c>
      <c r="HR82" s="14">
        <f t="shared" si="154"/>
        <v>880039.11677268194</v>
      </c>
      <c r="HS82" s="14">
        <f t="shared" si="157"/>
        <v>728282.69927800202</v>
      </c>
      <c r="HT82" s="14">
        <f t="shared" si="158"/>
        <v>3158668.3431357681</v>
      </c>
      <c r="HU82" s="14">
        <f t="shared" si="155"/>
        <v>94760.050294073037</v>
      </c>
      <c r="HV82" s="14">
        <f t="shared" si="156"/>
        <v>823042.74957207509</v>
      </c>
      <c r="HW82" s="14">
        <f>HR82*(VLOOKUP(90,$A$24:$K$72,11,FALSE)-1)</f>
        <v>3388891.118944786</v>
      </c>
      <c r="HX82" s="11">
        <f>HX$81*$D$49/$D$47</f>
        <v>38.24530835055203</v>
      </c>
      <c r="HY82" s="14">
        <f t="shared" si="159"/>
        <v>1147359.2505165609</v>
      </c>
      <c r="HZ82" s="14">
        <f t="shared" si="162"/>
        <v>827130.46429735504</v>
      </c>
      <c r="IA82" s="14">
        <f t="shared" si="163"/>
        <v>3886981.328239507</v>
      </c>
      <c r="IB82" s="14">
        <f t="shared" si="160"/>
        <v>116609.4398471852</v>
      </c>
      <c r="IC82" s="14">
        <f t="shared" si="161"/>
        <v>943739.9041445402</v>
      </c>
      <c r="ID82" s="14">
        <f>HY82*(VLOOKUP(89,$A$24:$K$72,11,FALSE)-1)</f>
        <v>4757826.9068935802</v>
      </c>
      <c r="IE82" s="11">
        <f>IE$81*$D$48/$D$47</f>
        <v>45.308949789570214</v>
      </c>
      <c r="IF82" s="14">
        <f t="shared" si="164"/>
        <v>1359268.4936871065</v>
      </c>
      <c r="IG82" s="14">
        <f t="shared" si="167"/>
        <v>922088.94155958376</v>
      </c>
      <c r="IH82" s="14">
        <f t="shared" si="168"/>
        <v>4714016.7060697479</v>
      </c>
      <c r="II82" s="14">
        <f t="shared" si="165"/>
        <v>141420.50118209244</v>
      </c>
      <c r="IJ82" s="14">
        <f t="shared" si="166"/>
        <v>1063509.4427416762</v>
      </c>
      <c r="IK82" s="14">
        <f>IF82*(VLOOKUP(88,$A$24:$K$72,11,FALSE)-1)</f>
        <v>6092487.4109800626</v>
      </c>
      <c r="IL82" s="11">
        <f>IL$81*$D$47/$D$47</f>
        <v>49.087468047756694</v>
      </c>
      <c r="IM82" s="14">
        <f t="shared" si="169"/>
        <v>1472624.0414327008</v>
      </c>
      <c r="IN82" s="14">
        <f t="shared" si="172"/>
        <v>1014706.9205070849</v>
      </c>
      <c r="IO82" s="14">
        <f t="shared" si="173"/>
        <v>5635954.2888124995</v>
      </c>
      <c r="IP82" s="14">
        <f t="shared" si="170"/>
        <v>169078.62866437499</v>
      </c>
      <c r="IQ82" s="14">
        <f t="shared" si="171"/>
        <v>1183785.5491714599</v>
      </c>
      <c r="IR82" s="14">
        <f>IM82*(VLOOKUP(87,$A$24:$K$72,11,FALSE)-1)</f>
        <v>7122436.0652771415</v>
      </c>
      <c r="IS82" s="11">
        <f>IS$81*$D$46/$D$47</f>
        <v>49.086438175173129</v>
      </c>
      <c r="IT82" s="14">
        <f t="shared" si="174"/>
        <v>1472593.1452551938</v>
      </c>
      <c r="IU82" s="14">
        <f t="shared" ref="IU82:IU96" si="177">IV81/$G48</f>
        <v>1109552.3582220462</v>
      </c>
      <c r="IV82" s="14">
        <f t="shared" ref="IV82:IV96" si="178">IV81-IU82</f>
        <v>6650521.676075872</v>
      </c>
      <c r="IW82" s="14">
        <f t="shared" si="175"/>
        <v>199515.65028227615</v>
      </c>
      <c r="IX82" s="14">
        <f t="shared" si="176"/>
        <v>1309068.0085043223</v>
      </c>
      <c r="IY82" s="14">
        <f>IT82*(VLOOKUP(86,$A$24:$K$72,11,FALSE)-1)</f>
        <v>7631085.0079176165</v>
      </c>
      <c r="IZ82" s="11">
        <f>($N81-$N82)+(IS81-IS82)+(IL81-IL82)+(IE81-IE82)+(HX81-HX82)+(HQ81-HQ82)+(HJ81-HJ82)+(HC81-HC82)+(GV81-GV82)+(GO81-GO82)+(GH81-GH82)+(GA81-GA82)+(FT81-FT82)+(FM81-FM82)+(FF81-FF82)+(EY81-EY82)+(ER81-ER82)+(EK81-EK82)+(ED81-ED82)+(DW81-DW82)+(DP81-DP82)+(DI81-DI82)+(DB81-DB82)+(CU81-CU82)+(CN81-CN82)+(CG81-CG82)+(BZ81-BZ82)+(BS81-BS82)+(BL81-BL82)+(BE81-BE82)+(AX81-AX82)+(AQ81-AQ82)+(AJ81-AJ82)+(AC81-AC82)+(V81-V82)</f>
        <v>45.679603348872739</v>
      </c>
      <c r="JA82" s="14">
        <f t="shared" ref="JA82:JA96" si="179">IZ82*$B$21</f>
        <v>1370388.1004661822</v>
      </c>
      <c r="JB82" s="14">
        <f>JA$46/$G47</f>
        <v>1202109.019964264</v>
      </c>
      <c r="JC82" s="14">
        <f>JA$46-JB82</f>
        <v>7760033.9398278082</v>
      </c>
      <c r="JD82" s="14">
        <f t="shared" ref="JD82:JD96" si="180">$B$20*JC82</f>
        <v>232801.01819483424</v>
      </c>
      <c r="JE82" s="14">
        <f t="shared" ref="JE82:JE96" si="181">JB82+JD82</f>
        <v>1434910.0381590982</v>
      </c>
      <c r="JF82" s="14">
        <f>JA82*(VLOOKUP(85,$A$24:$K$72,11,FALSE)-1)</f>
        <v>7591754.8593258969</v>
      </c>
      <c r="NC82" s="15">
        <v>36</v>
      </c>
      <c r="ND82" s="15">
        <f>N82+V82+AC82+AJ82+AQ82+AX82+BE82+BL82+BS82+BZ82+CG82+CN82+CU82+DB82+DI82+DP82+DW82+ED82+EK82+ER82+EY82+FF82+FM82+FT82+GA82+GH82+GO82+GV82+HC82+HJ82+HQ82+HX82+IE82+IL82+IS82+IZ82</f>
        <v>299.99999999999994</v>
      </c>
      <c r="NE82" s="14">
        <f>P82+W82+AD82+AK82+AR82+AY82+BF82+BM82+BT82+CA82+CH82+CO82+CV82+DC82+DJ82+DQ82+DX82+EE82+EL82+ES82+EZ82+FG82+FN82+FU82+GB82+GI82+GP82+GW82+HD82+HK82+HR82+HY82+IF82+IM82+IT82+JA82</f>
        <v>9000000</v>
      </c>
      <c r="NF82" s="14">
        <f>T82+AA82+AH82+AO82+AV82+BC82+BJ82+BQ82+BX82+CE82+CL82+CS82+CZ82+DG82+DN82+DU82+EB82+EI82+EP82+EW82+FD82+FK82+FR82+FY82+GF82+GM82+GT82+HA82+HH82+HO82+HV82+IC82+IJ82+IQ82+IX82+JE82</f>
        <v>10214190.693317004</v>
      </c>
      <c r="NH82" s="14">
        <f>U82+AB82+AI82+AP82+AW82+BD82+BK82+BR82+BY82+CF82+CM82+CT82+DA82+DH82+DO82+DV82+EC82+EJ82+EQ82+EX82+FE82+FL82+FS82+FZ82+GG82+GN82+GU82+HB82+HI82+HP82+HW82+ID82+IK82+IR82+IY82+JF82</f>
        <v>40900714.232594341</v>
      </c>
      <c r="NI82" s="14">
        <f>R82+Y82+AF82+AM82+AT82+BA82+BH82+BO82+BV82+CC82+CJ82+CQ82+CX82+DE82+DL82+DS82+DZ82+EG82+EN82+EU82+FB82+FI82+FP82+FW82+GD82+GK82+GR82+GY82+HF82+HM82+HT82+IA82+IH82+IO82+IV82+JC82</f>
        <v>41760269.781790666</v>
      </c>
    </row>
    <row r="83" spans="1:373" x14ac:dyDescent="0.25">
      <c r="A83" s="1"/>
      <c r="B83" s="3"/>
      <c r="CU83" s="11">
        <f>CU$82*$D$69/$D$47</f>
        <v>1.7749699649278797E-20</v>
      </c>
      <c r="CV83" s="14">
        <f t="shared" si="64"/>
        <v>5.3249098947836387E-16</v>
      </c>
      <c r="CW83" s="14">
        <f t="shared" si="67"/>
        <v>725.68376183130124</v>
      </c>
      <c r="CX83" s="14">
        <f t="shared" si="68"/>
        <v>362.84188091565068</v>
      </c>
      <c r="CY83" s="14">
        <f t="shared" si="65"/>
        <v>10.885256427469519</v>
      </c>
      <c r="CZ83" s="14">
        <f t="shared" si="66"/>
        <v>736.56901825877071</v>
      </c>
      <c r="DA83" s="14">
        <f>CV83*(VLOOKUP(109,$A$24:$K$72,11,FALSE)-1)</f>
        <v>2.5849077159143877E-16</v>
      </c>
      <c r="DB83" s="11">
        <f>DB$82*$D$68/$D$47</f>
        <v>7.8589223596252938E-18</v>
      </c>
      <c r="DC83" s="14">
        <f t="shared" si="69"/>
        <v>2.3576767078875881E-13</v>
      </c>
      <c r="DD83" s="14">
        <f t="shared" si="72"/>
        <v>1440.5986571577264</v>
      </c>
      <c r="DE83" s="14">
        <f t="shared" si="73"/>
        <v>1103.7866911142501</v>
      </c>
      <c r="DF83" s="14">
        <f t="shared" si="70"/>
        <v>33.113600733427504</v>
      </c>
      <c r="DG83" s="14">
        <f t="shared" si="71"/>
        <v>1473.712257891154</v>
      </c>
      <c r="DH83" s="14">
        <f>DC83*(VLOOKUP(108,$A$24:$K$72,11,FALSE)-1)</f>
        <v>1.736809248237477E-13</v>
      </c>
      <c r="DI83" s="11">
        <f>DI$82*$D$67/$D$47</f>
        <v>1.9573036751519794E-15</v>
      </c>
      <c r="DJ83" s="14">
        <f t="shared" si="74"/>
        <v>5.8719110254559388E-11</v>
      </c>
      <c r="DK83" s="14">
        <f t="shared" si="77"/>
        <v>2702.6271586932321</v>
      </c>
      <c r="DL83" s="14">
        <f t="shared" si="78"/>
        <v>2570.4651772178272</v>
      </c>
      <c r="DM83" s="14">
        <f t="shared" si="75"/>
        <v>77.113955316534813</v>
      </c>
      <c r="DN83" s="14">
        <f t="shared" si="76"/>
        <v>2779.741114009767</v>
      </c>
      <c r="DO83" s="14">
        <f>DJ83*(VLOOKUP(107,$A$24:$K$72,11,FALSE)-1)</f>
        <v>5.3314222736787455E-11</v>
      </c>
      <c r="DP83" s="11">
        <f>DP$82*$D$66/$D$47</f>
        <v>2.8628481382856295E-13</v>
      </c>
      <c r="DQ83" s="14">
        <f t="shared" si="79"/>
        <v>8.5885444148568888E-9</v>
      </c>
      <c r="DR83" s="14">
        <f t="shared" si="82"/>
        <v>4820.1022345352367</v>
      </c>
      <c r="DS83" s="14">
        <f t="shared" si="83"/>
        <v>5309.7779919914019</v>
      </c>
      <c r="DT83" s="14">
        <f t="shared" si="80"/>
        <v>159.29333975974205</v>
      </c>
      <c r="DU83" s="14">
        <f t="shared" si="81"/>
        <v>4979.3955742949784</v>
      </c>
      <c r="DV83" s="14">
        <f>DQ83*(VLOOKUP(106,$A$24:$K$72,11,FALSE)-1)</f>
        <v>8.9823713379702949E-9</v>
      </c>
      <c r="DW83" s="11">
        <f>DW$82*$D$65/$D$47</f>
        <v>2.5612453965836294E-11</v>
      </c>
      <c r="DX83" s="14">
        <f t="shared" si="84"/>
        <v>7.683736189750888E-7</v>
      </c>
      <c r="DY83" s="14">
        <f t="shared" si="87"/>
        <v>8226.4258109288639</v>
      </c>
      <c r="DZ83" s="14">
        <f t="shared" si="88"/>
        <v>10186.42951064033</v>
      </c>
      <c r="EA83" s="14">
        <f t="shared" si="85"/>
        <v>305.59288531920987</v>
      </c>
      <c r="EB83" s="14">
        <f t="shared" si="86"/>
        <v>8532.018696248073</v>
      </c>
      <c r="EC83" s="14">
        <f>DX83*(VLOOKUP(105,$A$24:$K$72,11,FALSE)-1)</f>
        <v>8.9923414569714622E-7</v>
      </c>
      <c r="ED83" s="11">
        <f>ED$82*$D$64/$D$47</f>
        <v>1.4506243708409885E-9</v>
      </c>
      <c r="EE83" s="14">
        <f t="shared" si="89"/>
        <v>4.3518731125229653E-5</v>
      </c>
      <c r="EF83" s="14">
        <f t="shared" si="92"/>
        <v>13477.535700186603</v>
      </c>
      <c r="EG83" s="14">
        <f t="shared" si="93"/>
        <v>18476.790697862583</v>
      </c>
      <c r="EH83" s="14">
        <f t="shared" si="90"/>
        <v>554.30372093587744</v>
      </c>
      <c r="EI83" s="14">
        <f t="shared" si="91"/>
        <v>14031.83942112248</v>
      </c>
      <c r="EJ83" s="14">
        <f>EE83*(VLOOKUP(104,$A$24:$K$72,11,FALSE)-1)</f>
        <v>5.6165102467098502E-5</v>
      </c>
      <c r="EK83" s="11">
        <f>EK$82*$D$63/$D$47</f>
        <v>5.3726142487251759E-8</v>
      </c>
      <c r="EL83" s="14">
        <f t="shared" si="94"/>
        <v>1.6117842746175527E-3</v>
      </c>
      <c r="EM83" s="14">
        <f t="shared" si="97"/>
        <v>21280.019772386382</v>
      </c>
      <c r="EN83" s="14">
        <f t="shared" si="98"/>
        <v>32007.693344747429</v>
      </c>
      <c r="EO83" s="14">
        <f t="shared" si="95"/>
        <v>960.23080034242287</v>
      </c>
      <c r="EP83" s="14">
        <f t="shared" si="96"/>
        <v>22240.250572728804</v>
      </c>
      <c r="EQ83" s="14">
        <f>EL83*(VLOOKUP(103,$A$24:$K$72,11,FALSE)-1)</f>
        <v>2.2739524091291521E-3</v>
      </c>
      <c r="ER83" s="11">
        <f>ER$82*$D$62/$D$47</f>
        <v>1.3408542544871814E-6</v>
      </c>
      <c r="ES83" s="14">
        <f t="shared" si="99"/>
        <v>4.0225627634615443E-2</v>
      </c>
      <c r="ET83" s="14">
        <f t="shared" si="102"/>
        <v>32501.84584462607</v>
      </c>
      <c r="EU83" s="14">
        <f t="shared" si="103"/>
        <v>53317.610903090776</v>
      </c>
      <c r="EV83" s="14">
        <f t="shared" si="100"/>
        <v>1599.5283270927232</v>
      </c>
      <c r="EW83" s="14">
        <f t="shared" si="101"/>
        <v>34101.374171718795</v>
      </c>
      <c r="EX83" s="14">
        <f>ES83*(VLOOKUP(102,$A$24:$K$72,11,FALSE)-1)</f>
        <v>6.1679331336488265E-2</v>
      </c>
      <c r="EY83" s="11">
        <f>EY$82*$D$61/$D$47</f>
        <v>2.3179666483831841E-5</v>
      </c>
      <c r="EZ83" s="14">
        <f t="shared" si="104"/>
        <v>0.6953899945149552</v>
      </c>
      <c r="FA83" s="14">
        <f t="shared" si="107"/>
        <v>48183.877590127624</v>
      </c>
      <c r="FB83" s="14">
        <f t="shared" si="108"/>
        <v>85827.372753981719</v>
      </c>
      <c r="FC83" s="14">
        <f t="shared" si="105"/>
        <v>2574.8211826194515</v>
      </c>
      <c r="FD83" s="14">
        <f t="shared" si="106"/>
        <v>50758.698772747077</v>
      </c>
      <c r="FE83" s="14">
        <f>EZ83*(VLOOKUP(101,$A$24:$K$72,11,FALSE)-1)</f>
        <v>1.1537986837634844</v>
      </c>
      <c r="FF83" s="11">
        <f>FF$82*$D$60/$D$47</f>
        <v>2.8464648724224357E-4</v>
      </c>
      <c r="FG83" s="14">
        <f t="shared" si="109"/>
        <v>8.5393946172673072</v>
      </c>
      <c r="FH83" s="14">
        <f t="shared" si="112"/>
        <v>69531.028614116949</v>
      </c>
      <c r="FI83" s="14">
        <f t="shared" si="113"/>
        <v>134014.37991262681</v>
      </c>
      <c r="FJ83" s="14">
        <f t="shared" si="110"/>
        <v>4020.4313973788044</v>
      </c>
      <c r="FK83" s="14">
        <f t="shared" si="111"/>
        <v>73551.460011495757</v>
      </c>
      <c r="FL83" s="14">
        <f>FG83*(VLOOKUP(100,$A$24:$K$72,11,FALSE)-1)</f>
        <v>15.278329831983593</v>
      </c>
      <c r="FM83" s="11">
        <f>FM$82*$D$59/$D$47</f>
        <v>2.5406113205051453E-3</v>
      </c>
      <c r="FN83" s="14">
        <f t="shared" si="114"/>
        <v>76.218339615154363</v>
      </c>
      <c r="FO83" s="14">
        <f t="shared" si="117"/>
        <v>97882.415756227638</v>
      </c>
      <c r="FP83" s="14">
        <f t="shared" si="118"/>
        <v>203558.9903318999</v>
      </c>
      <c r="FQ83" s="14">
        <f t="shared" si="115"/>
        <v>6106.7697099569968</v>
      </c>
      <c r="FR83" s="14">
        <f t="shared" si="116"/>
        <v>103989.18546618463</v>
      </c>
      <c r="FS83" s="14">
        <f>FN83*(VLOOKUP(99,$A$24:$K$72,11,FALSE)-1)</f>
        <v>146.62174869489871</v>
      </c>
      <c r="FT83" s="11">
        <f>FT$82*$D$58/$D$47</f>
        <v>1.6892050824681017E-2</v>
      </c>
      <c r="FU83" s="14">
        <f t="shared" si="119"/>
        <v>506.7615247404305</v>
      </c>
      <c r="FV83" s="14">
        <f t="shared" si="122"/>
        <v>134689.11971890304</v>
      </c>
      <c r="FW83" s="14">
        <f t="shared" si="123"/>
        <v>301471.08278403321</v>
      </c>
      <c r="FX83" s="14">
        <f t="shared" si="120"/>
        <v>9044.1324835209962</v>
      </c>
      <c r="FY83" s="14">
        <f t="shared" si="121"/>
        <v>143733.25220242405</v>
      </c>
      <c r="FZ83" s="14">
        <f>FU83*(VLOOKUP(98,$A$24:$K$72,11,FALSE)-1)</f>
        <v>1045.4786451573498</v>
      </c>
      <c r="GA83" s="11">
        <f>GA$82*$D$57/$D$47</f>
        <v>8.5815377043023333E-2</v>
      </c>
      <c r="GB83" s="14">
        <f t="shared" si="124"/>
        <v>2574.4613112907</v>
      </c>
      <c r="GC83" s="14">
        <f t="shared" si="127"/>
        <v>180828.00019735098</v>
      </c>
      <c r="GD83" s="14">
        <f t="shared" si="128"/>
        <v>436191.47654376598</v>
      </c>
      <c r="GE83" s="14">
        <f t="shared" si="125"/>
        <v>13085.74429631298</v>
      </c>
      <c r="GF83" s="14">
        <f t="shared" si="126"/>
        <v>193913.74449366395</v>
      </c>
      <c r="GG83" s="14">
        <f>GB83*(VLOOKUP(97,$A$24:$K$72,11,FALSE)-1)</f>
        <v>5702.9872846107401</v>
      </c>
      <c r="GH83" s="11">
        <f>GH$82*$D$56/$D$47</f>
        <v>0.34174901458946549</v>
      </c>
      <c r="GI83" s="14">
        <f t="shared" si="129"/>
        <v>10252.470437683965</v>
      </c>
      <c r="GJ83" s="14">
        <f t="shared" si="132"/>
        <v>236640.99171021671</v>
      </c>
      <c r="GK83" s="14">
        <f t="shared" si="133"/>
        <v>616983.24463609618</v>
      </c>
      <c r="GL83" s="14">
        <f t="shared" si="130"/>
        <v>18509.497339082885</v>
      </c>
      <c r="GM83" s="14">
        <f t="shared" si="131"/>
        <v>255150.48904929959</v>
      </c>
      <c r="GN83" s="14">
        <f>GI83*(VLOOKUP(96,$A$24:$K$72,11,FALSE)-1)</f>
        <v>24454.096597194472</v>
      </c>
      <c r="GO83" s="11">
        <f>GO$82*$D$55/$D$47</f>
        <v>1.0955548995320852</v>
      </c>
      <c r="GP83" s="14">
        <f t="shared" si="134"/>
        <v>32866.646985962558</v>
      </c>
      <c r="GQ83" s="14">
        <f t="shared" si="137"/>
        <v>302150.32610091701</v>
      </c>
      <c r="GR83" s="14">
        <f t="shared" si="138"/>
        <v>854507.52289482811</v>
      </c>
      <c r="GS83" s="14">
        <f t="shared" si="135"/>
        <v>25635.225686844842</v>
      </c>
      <c r="GT83" s="14">
        <f t="shared" si="136"/>
        <v>327785.55178776185</v>
      </c>
      <c r="GU83" s="14">
        <f>GP83*(VLOOKUP(95,$A$24:$K$72,11,FALSE)-1)</f>
        <v>84687.121287356655</v>
      </c>
      <c r="GV83" s="11">
        <f>GV$82*$D$54/$D$47</f>
        <v>2.886653073402905</v>
      </c>
      <c r="GW83" s="14">
        <f t="shared" si="139"/>
        <v>86599.592202087151</v>
      </c>
      <c r="GX83" s="14">
        <f t="shared" si="142"/>
        <v>375159.38621083356</v>
      </c>
      <c r="GY83" s="14">
        <f t="shared" si="143"/>
        <v>1154802.5142002306</v>
      </c>
      <c r="GZ83" s="14">
        <f t="shared" si="140"/>
        <v>34644.075426006915</v>
      </c>
      <c r="HA83" s="14">
        <f t="shared" si="141"/>
        <v>409803.46163684048</v>
      </c>
      <c r="HB83" s="14">
        <f>GW83*(VLOOKUP(94,$A$24:$K$72,11,FALSE)-1)</f>
        <v>241807.54036780921</v>
      </c>
      <c r="HC83" s="11">
        <f>HC$82*$D$53/$D$47</f>
        <v>6.4223289408148654</v>
      </c>
      <c r="HD83" s="14">
        <f t="shared" si="144"/>
        <v>192669.86822444596</v>
      </c>
      <c r="HE83" s="14">
        <f t="shared" si="147"/>
        <v>455410.69626545551</v>
      </c>
      <c r="HF83" s="14">
        <f t="shared" si="148"/>
        <v>1530551.4749488865</v>
      </c>
      <c r="HG83" s="14">
        <f t="shared" si="145"/>
        <v>45916.544248466598</v>
      </c>
      <c r="HH83" s="14">
        <f t="shared" si="146"/>
        <v>501327.24051392212</v>
      </c>
      <c r="HI83" s="14">
        <f>HD83*(VLOOKUP(93,$A$24:$K$72,11,FALSE)-1)</f>
        <v>584592.47901604674</v>
      </c>
      <c r="HJ83" s="11">
        <f>HJ$82*$D$52/$D$47</f>
        <v>12.225735105411612</v>
      </c>
      <c r="HK83" s="14">
        <f t="shared" si="149"/>
        <v>366772.05316234834</v>
      </c>
      <c r="HL83" s="14">
        <f t="shared" si="152"/>
        <v>540517.49763165333</v>
      </c>
      <c r="HM83" s="14">
        <f t="shared" si="153"/>
        <v>1986325.8588442351</v>
      </c>
      <c r="HN83" s="14">
        <f t="shared" si="150"/>
        <v>59589.775765327053</v>
      </c>
      <c r="HO83" s="14">
        <f t="shared" si="151"/>
        <v>600107.27339698037</v>
      </c>
      <c r="HP83" s="14">
        <f>HK83*(VLOOKUP(92,$A$24:$K$72,11,FALSE)-1)</f>
        <v>1210558.6493970875</v>
      </c>
      <c r="HQ83" s="11">
        <f>HQ$82*$D$51/$D$47</f>
        <v>20.182692513279164</v>
      </c>
      <c r="HR83" s="14">
        <f t="shared" si="154"/>
        <v>605480.77539837488</v>
      </c>
      <c r="HS83" s="14">
        <f t="shared" si="157"/>
        <v>631639.58508381108</v>
      </c>
      <c r="HT83" s="14">
        <f t="shared" si="158"/>
        <v>2527028.758051957</v>
      </c>
      <c r="HU83" s="14">
        <f t="shared" si="155"/>
        <v>75810.862741558711</v>
      </c>
      <c r="HV83" s="14">
        <f t="shared" si="156"/>
        <v>707450.44782536977</v>
      </c>
      <c r="HW83" s="14">
        <f>HR83*(VLOOKUP(91,$A$24:$K$72,11,FALSE)-1)</f>
        <v>2163525.0916646677</v>
      </c>
      <c r="HX83" s="11">
        <f>HX$82*$D$50/$D$47</f>
        <v>29.334865791462551</v>
      </c>
      <c r="HY83" s="14">
        <f t="shared" si="159"/>
        <v>880045.97374387656</v>
      </c>
      <c r="HZ83" s="14">
        <f t="shared" si="162"/>
        <v>728288.37381382124</v>
      </c>
      <c r="IA83" s="14">
        <f t="shared" si="163"/>
        <v>3158692.954425686</v>
      </c>
      <c r="IB83" s="14">
        <f t="shared" si="160"/>
        <v>94760.788632770578</v>
      </c>
      <c r="IC83" s="14">
        <f t="shared" si="161"/>
        <v>823049.16244659177</v>
      </c>
      <c r="ID83" s="14">
        <f>HY83*(VLOOKUP(90,$A$24:$K$72,11,FALSE)-1)</f>
        <v>3388917.5240537655</v>
      </c>
      <c r="IE83" s="11">
        <f>IE$82*$D$49/$D$47</f>
        <v>38.244536919704686</v>
      </c>
      <c r="IF83" s="14">
        <f t="shared" si="164"/>
        <v>1147336.1075911405</v>
      </c>
      <c r="IG83" s="14">
        <f t="shared" si="167"/>
        <v>827113.78057894658</v>
      </c>
      <c r="IH83" s="14">
        <f t="shared" si="168"/>
        <v>3886902.9254908012</v>
      </c>
      <c r="II83" s="14">
        <f t="shared" si="165"/>
        <v>116607.08776472403</v>
      </c>
      <c r="IJ83" s="14">
        <f t="shared" si="166"/>
        <v>943720.86834367062</v>
      </c>
      <c r="IK83" s="14">
        <f>IF83*(VLOOKUP(89,$A$24:$K$72,11,FALSE)-1)</f>
        <v>4757730.9386663493</v>
      </c>
      <c r="IL83" s="11">
        <f>IL$82*$D$48/$D$47</f>
        <v>45.307733008079424</v>
      </c>
      <c r="IM83" s="14">
        <f t="shared" si="169"/>
        <v>1359231.9902423827</v>
      </c>
      <c r="IN83" s="14">
        <f t="shared" si="172"/>
        <v>922064.17866478825</v>
      </c>
      <c r="IO83" s="14">
        <f t="shared" si="173"/>
        <v>4713890.1101477109</v>
      </c>
      <c r="IP83" s="14">
        <f t="shared" si="170"/>
        <v>141416.70330443131</v>
      </c>
      <c r="IQ83" s="14">
        <f t="shared" si="171"/>
        <v>1063480.8819692195</v>
      </c>
      <c r="IR83" s="14">
        <f>IM83*(VLOOKUP(88,$A$24:$K$72,11,FALSE)-1)</f>
        <v>6092323.7959338296</v>
      </c>
      <c r="IS83" s="11">
        <f>IS$82*$D$47/$D$47</f>
        <v>49.086438175173129</v>
      </c>
      <c r="IT83" s="14">
        <f t="shared" si="174"/>
        <v>1472593.1452551938</v>
      </c>
      <c r="IU83" s="14">
        <f t="shared" si="177"/>
        <v>1014685.6315940613</v>
      </c>
      <c r="IV83" s="14">
        <f t="shared" si="178"/>
        <v>5635836.0444818111</v>
      </c>
      <c r="IW83" s="14">
        <f t="shared" si="175"/>
        <v>169075.08133445433</v>
      </c>
      <c r="IX83" s="14">
        <f t="shared" si="176"/>
        <v>1183760.7129285156</v>
      </c>
      <c r="IY83" s="14">
        <f>IT83*(VLOOKUP(87,$A$24:$K$72,11,FALSE)-1)</f>
        <v>7122286.6340287281</v>
      </c>
      <c r="IZ83" s="11">
        <f>IZ$82*$D$46/$D$47</f>
        <v>49.086184557138125</v>
      </c>
      <c r="JA83" s="14">
        <f t="shared" si="179"/>
        <v>1472585.5367141438</v>
      </c>
      <c r="JB83" s="14">
        <f t="shared" ref="JB83:JB96" si="182">JC82/$G48</f>
        <v>1109546.6254270154</v>
      </c>
      <c r="JC83" s="14">
        <f t="shared" ref="JC83:JC96" si="183">JC82-JB83</f>
        <v>6650487.3144007931</v>
      </c>
      <c r="JD83" s="14">
        <f t="shared" si="180"/>
        <v>199514.61943202378</v>
      </c>
      <c r="JE83" s="14">
        <f t="shared" si="181"/>
        <v>1309061.2448590391</v>
      </c>
      <c r="JF83" s="14">
        <f>JA83*(VLOOKUP(86,$A$24:$K$72,11,FALSE)-1)</f>
        <v>7631045.5799033511</v>
      </c>
      <c r="JG83" s="11">
        <f>($N82-$N83)+(IZ82-IZ83)+(IS82-IS83)+(IL82-IL83)+(IE82-IE83)+(HX82-HX83)+(HQ82-HQ83)+(HJ82-HJ83)+(HC82-HC83)+(GV82-GV83)+(GO82-GO83)+(GH82-GH83)+(GA82-GA83)+(FT82-FT83)+(FM82-FM83)+(FF82-FF83)+(EY82-EY83)+(ER82-ER83)+(EK82-EK83)+(ED82-ED83)+(DW82-DW83)+(DP82-DP83)+(DI82-DI83)+(DB82-DB83)+(CU82-CU83)+(CN82-CN83)+(CG82-CG83)+(BZ82-BZ83)+(BS82-BS83)+(BL82-BL83)+(BE82-BE83)+(AX82-AX83)+(AQ82-AQ83)+(AJ82-AJ83)+(AC82-AC83)+(V82-V83)</f>
        <v>45.67997074001309</v>
      </c>
      <c r="JH83" s="14">
        <f t="shared" ref="JH83:JH96" si="184">JG83*$B$21</f>
        <v>1370399.1222003927</v>
      </c>
      <c r="JI83" s="14">
        <f>JH$46/$G47</f>
        <v>1202118.6882663362</v>
      </c>
      <c r="JJ83" s="14">
        <f>JH$46-JI83</f>
        <v>7760096.3520973912</v>
      </c>
      <c r="JK83" s="14">
        <f t="shared" ref="JK83:JK96" si="185">$B$20*JJ83</f>
        <v>232802.89056292173</v>
      </c>
      <c r="JL83" s="14">
        <f t="shared" ref="JL83:JL96" si="186">JI83+JK83</f>
        <v>1434921.578829258</v>
      </c>
      <c r="JM83" s="14">
        <f>JH83*(VLOOKUP(85,$A$24:$K$72,11,FALSE)-1)</f>
        <v>7591815.9181633322</v>
      </c>
      <c r="NC83" s="15">
        <v>37</v>
      </c>
      <c r="ND83" s="15">
        <f>N83+V83+AC83+AJ83+AQ83+AX83+BE83+BL83+BS83+BZ83+CG83+CN83+CU83+DB83+DI83+DP83+DW83+ED83+EK83+ER83+EY83+FF83+FM83+FT83+GA83+GH83+GO83+GV83+HC83+HJ83+HQ83+HX83+IE83+IL83+IS83+IZ83+JG83</f>
        <v>300</v>
      </c>
      <c r="NE83" s="14">
        <f>P83+W83+AD83+AK83+AR83+AY83+BF83+BM83+BT83+CA83+CH83+CO83+CV83+DC83+DJ83+DQ83+DX83+EE83+EL83+ES83+EZ83+FG83+FN83+FU83+GB83+GI83+GP83+GW83+HD83+HK83+HR83+HY83+IF83+IM83+IT83+JA83+JH83</f>
        <v>9000000</v>
      </c>
      <c r="NF83" s="14">
        <f>T83+AA83+AH83+AO83+AV83+BC83+BJ83+BQ83+BX83+CE83+CL83+CS83+CZ83+DG83+DN83+DU83+EB83+EI83+EP83+EW83+FD83+FK83+FR83+FY83+GF83+GM83+GT83+HA83+HH83+HO83+HV83+IC83+IJ83+IQ83+IX83+JE83+JL83</f>
        <v>10214440.155359259</v>
      </c>
      <c r="NH83" s="14">
        <f>U83+AB83+AI83+AP83+AW83+BD83+BK83+BR83+BY83+CF83+CM83+CT83+DA83+DH83+DO83+DV83+EC83+EJ83+EQ83+EX83+FE83+FL83+FS83+FZ83+GG83+GN83+GU83+HB83+HI83+HP83+HW83+ID83+IK83+IR83+IY83+JF83+JM83</f>
        <v>40900656.952896856</v>
      </c>
      <c r="NI83" s="14">
        <f>R83+Y83+AF83+AM83+AT83+BA83+BH83+BO83+BV83+CC83+CJ83+CQ83+CX83+DE83+DL83+DS83+DZ83+EG83+EN83+EU83+FB83+FI83+FP83+FW83+GD83+GK83+GR83+GY83+HF83+HM83+HT83+IA83+IH83+IO83+IV83+JC83+JJ83</f>
        <v>41760503.773144312</v>
      </c>
    </row>
    <row r="84" spans="1:373" x14ac:dyDescent="0.25">
      <c r="A84" s="1"/>
      <c r="B84" s="3"/>
      <c r="DB84" s="11">
        <f>DB$83*$D$69/$D$47</f>
        <v>1.799854911521245E-20</v>
      </c>
      <c r="DC84" s="14">
        <f t="shared" si="69"/>
        <v>5.3995647345637349E-16</v>
      </c>
      <c r="DD84" s="14">
        <f t="shared" si="72"/>
        <v>735.85779407616667</v>
      </c>
      <c r="DE84" s="14">
        <f t="shared" si="73"/>
        <v>367.92889703808339</v>
      </c>
      <c r="DF84" s="14">
        <f t="shared" si="70"/>
        <v>11.037866911142501</v>
      </c>
      <c r="DG84" s="14">
        <f t="shared" si="71"/>
        <v>746.89566098730916</v>
      </c>
      <c r="DH84" s="14">
        <f>DC84*(VLOOKUP(109,$A$24:$K$72,11,FALSE)-1)</f>
        <v>2.6211479293998713E-16</v>
      </c>
      <c r="DI84" s="11">
        <f>DI$83*$D$68/$D$47</f>
        <v>7.9394759404643526E-18</v>
      </c>
      <c r="DJ84" s="14">
        <f t="shared" si="74"/>
        <v>2.381842782139306E-13</v>
      </c>
      <c r="DK84" s="14">
        <f t="shared" si="77"/>
        <v>1455.3647249563057</v>
      </c>
      <c r="DL84" s="14">
        <f t="shared" si="78"/>
        <v>1115.1004522615215</v>
      </c>
      <c r="DM84" s="14">
        <f t="shared" si="75"/>
        <v>33.453013567845645</v>
      </c>
      <c r="DN84" s="14">
        <f t="shared" si="76"/>
        <v>1488.8177385241513</v>
      </c>
      <c r="DO84" s="14">
        <f>DJ84*(VLOOKUP(108,$A$24:$K$72,11,FALSE)-1)</f>
        <v>1.7546114605228002E-13</v>
      </c>
      <c r="DP84" s="11">
        <f>DP$83*$D$67/$D$47</f>
        <v>1.9709209162122981E-15</v>
      </c>
      <c r="DQ84" s="14">
        <f t="shared" si="79"/>
        <v>5.912762748636894E-11</v>
      </c>
      <c r="DR84" s="14">
        <f t="shared" si="82"/>
        <v>2721.4297216185942</v>
      </c>
      <c r="DS84" s="14">
        <f t="shared" si="83"/>
        <v>2588.3482703728077</v>
      </c>
      <c r="DT84" s="14">
        <f t="shared" si="80"/>
        <v>77.650448111184232</v>
      </c>
      <c r="DU84" s="14">
        <f t="shared" si="81"/>
        <v>2799.0801697297784</v>
      </c>
      <c r="DV84" s="14">
        <f>DQ84*(VLOOKUP(107,$A$24:$K$72,11,FALSE)-1)</f>
        <v>5.368513739462356E-11</v>
      </c>
      <c r="DW84" s="11">
        <f>DW$83*$D$66/$D$47</f>
        <v>2.87882976976853E-13</v>
      </c>
      <c r="DX84" s="14">
        <f t="shared" si="84"/>
        <v>8.6364893093055892E-9</v>
      </c>
      <c r="DY84" s="14">
        <f t="shared" si="87"/>
        <v>4847.0100877992854</v>
      </c>
      <c r="DZ84" s="14">
        <f t="shared" si="88"/>
        <v>5339.4194228410443</v>
      </c>
      <c r="EA84" s="14">
        <f t="shared" si="85"/>
        <v>160.18258268523132</v>
      </c>
      <c r="EB84" s="14">
        <f t="shared" si="86"/>
        <v>5007.1926704845164</v>
      </c>
      <c r="EC84" s="14">
        <f>DX84*(VLOOKUP(106,$A$24:$K$72,11,FALSE)-1)</f>
        <v>9.0325147411939019E-9</v>
      </c>
      <c r="ED84" s="11">
        <f>ED$83*$D$65/$D$47</f>
        <v>2.5701388672241366E-11</v>
      </c>
      <c r="EE84" s="14">
        <f t="shared" si="89"/>
        <v>7.7104166016724098E-7</v>
      </c>
      <c r="EF84" s="14">
        <f t="shared" si="92"/>
        <v>8254.9906163642954</v>
      </c>
      <c r="EG84" s="14">
        <f t="shared" si="93"/>
        <v>10221.800081498288</v>
      </c>
      <c r="EH84" s="14">
        <f t="shared" si="90"/>
        <v>306.65400244494862</v>
      </c>
      <c r="EI84" s="14">
        <f t="shared" si="91"/>
        <v>8561.6446188092432</v>
      </c>
      <c r="EJ84" s="14">
        <f>EE84*(VLOOKUP(105,$A$24:$K$72,11,FALSE)-1)</f>
        <v>9.0235657687237316E-7</v>
      </c>
      <c r="EK84" s="11">
        <f>EK$83*$D$64/$D$47</f>
        <v>1.4530470597912572E-9</v>
      </c>
      <c r="EL84" s="14">
        <f t="shared" si="94"/>
        <v>4.3591411793737716E-5</v>
      </c>
      <c r="EM84" s="14">
        <f t="shared" si="97"/>
        <v>13500.044543601918</v>
      </c>
      <c r="EN84" s="14">
        <f t="shared" si="98"/>
        <v>18507.648801145511</v>
      </c>
      <c r="EO84" s="14">
        <f t="shared" si="95"/>
        <v>555.22946403436526</v>
      </c>
      <c r="EP84" s="14">
        <f t="shared" si="96"/>
        <v>14055.274007636282</v>
      </c>
      <c r="EQ84" s="14">
        <f>EL84*(VLOOKUP(104,$A$24:$K$72,11,FALSE)-1)</f>
        <v>5.6258903850746061E-5</v>
      </c>
      <c r="ER84" s="11">
        <f>ER$83*$D$63/$D$47</f>
        <v>5.3756286259885551E-8</v>
      </c>
      <c r="ES84" s="14">
        <f t="shared" si="99"/>
        <v>1.6126885877965666E-3</v>
      </c>
      <c r="ET84" s="14">
        <f t="shared" si="102"/>
        <v>21291.959212814538</v>
      </c>
      <c r="EU84" s="14">
        <f t="shared" si="103"/>
        <v>32025.651690276238</v>
      </c>
      <c r="EV84" s="14">
        <f t="shared" si="100"/>
        <v>960.76955070828706</v>
      </c>
      <c r="EW84" s="14">
        <f t="shared" si="101"/>
        <v>22252.728763522824</v>
      </c>
      <c r="EX84" s="14">
        <f>ES84*(VLOOKUP(103,$A$24:$K$72,11,FALSE)-1)</f>
        <v>2.2752282406187691E-3</v>
      </c>
      <c r="EY84" s="11">
        <f>EY$83*$D$62/$D$47</f>
        <v>1.3409779351894477E-6</v>
      </c>
      <c r="EZ84" s="14">
        <f t="shared" si="104"/>
        <v>4.0229338055683427E-2</v>
      </c>
      <c r="FA84" s="14">
        <f t="shared" si="107"/>
        <v>32504.843822300089</v>
      </c>
      <c r="FB84" s="14">
        <f t="shared" si="108"/>
        <v>53322.528931681634</v>
      </c>
      <c r="FC84" s="14">
        <f t="shared" si="105"/>
        <v>1599.6758679504489</v>
      </c>
      <c r="FD84" s="14">
        <f t="shared" si="106"/>
        <v>34104.519690250534</v>
      </c>
      <c r="FE84" s="14">
        <f>EZ84*(VLOOKUP(102,$A$24:$K$72,11,FALSE)-1)</f>
        <v>6.168502065207903E-2</v>
      </c>
      <c r="FF84" s="11">
        <f>FF$83*$D$61/$D$47</f>
        <v>2.3180207799238464E-5</v>
      </c>
      <c r="FG84" s="14">
        <f t="shared" si="109"/>
        <v>0.69540623397715395</v>
      </c>
      <c r="FH84" s="14">
        <f t="shared" si="112"/>
        <v>48185.002829583034</v>
      </c>
      <c r="FI84" s="14">
        <f t="shared" si="113"/>
        <v>85829.377083043772</v>
      </c>
      <c r="FJ84" s="14">
        <f t="shared" si="110"/>
        <v>2574.8813124913131</v>
      </c>
      <c r="FK84" s="14">
        <f t="shared" si="111"/>
        <v>50759.884142074348</v>
      </c>
      <c r="FL84" s="14">
        <f>FG84*(VLOOKUP(101,$A$24:$K$72,11,FALSE)-1)</f>
        <v>1.1538256284567612</v>
      </c>
      <c r="FM84" s="11">
        <f>FM$83*$D$60/$D$47</f>
        <v>2.8466548061161564E-4</v>
      </c>
      <c r="FN84" s="14">
        <f t="shared" si="114"/>
        <v>8.5399644183484682</v>
      </c>
      <c r="FO84" s="14">
        <f t="shared" si="117"/>
        <v>69535.668153224105</v>
      </c>
      <c r="FP84" s="14">
        <f t="shared" si="118"/>
        <v>134023.32217867579</v>
      </c>
      <c r="FQ84" s="14">
        <f t="shared" si="115"/>
        <v>4020.6996653602737</v>
      </c>
      <c r="FR84" s="14">
        <f t="shared" si="116"/>
        <v>73556.367818584375</v>
      </c>
      <c r="FS84" s="14">
        <f>FN84*(VLOOKUP(100,$A$24:$K$72,11,FALSE)-1)</f>
        <v>15.279349296389066</v>
      </c>
      <c r="FT84" s="11">
        <f>FT$83*$D$59/$D$47</f>
        <v>2.5408614419153118E-3</v>
      </c>
      <c r="FU84" s="14">
        <f t="shared" si="119"/>
        <v>76.22584325745936</v>
      </c>
      <c r="FV84" s="14">
        <f t="shared" si="122"/>
        <v>97892.052211698727</v>
      </c>
      <c r="FW84" s="14">
        <f t="shared" si="123"/>
        <v>203579.03057233448</v>
      </c>
      <c r="FX84" s="14">
        <f t="shared" si="120"/>
        <v>6107.3709171700339</v>
      </c>
      <c r="FY84" s="14">
        <f t="shared" si="121"/>
        <v>103999.42312886876</v>
      </c>
      <c r="FZ84" s="14">
        <f>FU84*(VLOOKUP(99,$A$24:$K$72,11,FALSE)-1)</f>
        <v>146.6361835036586</v>
      </c>
      <c r="GA84" s="11">
        <f>GA$83*$D$58/$D$47</f>
        <v>1.6893262037176265E-2</v>
      </c>
      <c r="GB84" s="14">
        <f t="shared" si="124"/>
        <v>506.79786111528796</v>
      </c>
      <c r="GC84" s="14">
        <f t="shared" si="127"/>
        <v>134698.77734700672</v>
      </c>
      <c r="GD84" s="14">
        <f t="shared" si="128"/>
        <v>301492.69919675926</v>
      </c>
      <c r="GE84" s="14">
        <f t="shared" si="125"/>
        <v>9044.7809759027768</v>
      </c>
      <c r="GF84" s="14">
        <f t="shared" si="126"/>
        <v>143743.55832290949</v>
      </c>
      <c r="GG84" s="14">
        <f>GB84*(VLOOKUP(98,$A$24:$K$72,11,FALSE)-1)</f>
        <v>1045.5536092224993</v>
      </c>
      <c r="GH84" s="11">
        <f>GH$83*$D$57/$D$47</f>
        <v>8.5810337863758093E-2</v>
      </c>
      <c r="GI84" s="14">
        <f t="shared" si="129"/>
        <v>2574.3101359127427</v>
      </c>
      <c r="GJ84" s="14">
        <f t="shared" si="132"/>
        <v>180817.38176577658</v>
      </c>
      <c r="GK84" s="14">
        <f t="shared" si="133"/>
        <v>436165.86287031963</v>
      </c>
      <c r="GL84" s="14">
        <f t="shared" si="130"/>
        <v>13084.975886109589</v>
      </c>
      <c r="GM84" s="14">
        <f t="shared" si="131"/>
        <v>193902.35765188615</v>
      </c>
      <c r="GN84" s="14">
        <f>GI84*(VLOOKUP(97,$A$24:$K$72,11,FALSE)-1)</f>
        <v>5702.6523985301237</v>
      </c>
      <c r="GO84" s="11">
        <f>GO$83*$D$56/$D$47</f>
        <v>0.3421026389298974</v>
      </c>
      <c r="GP84" s="14">
        <f t="shared" si="134"/>
        <v>10263.079167896922</v>
      </c>
      <c r="GQ84" s="14">
        <f t="shared" si="137"/>
        <v>236885.85566311897</v>
      </c>
      <c r="GR84" s="14">
        <f t="shared" si="138"/>
        <v>617621.66723170911</v>
      </c>
      <c r="GS84" s="14">
        <f t="shared" si="135"/>
        <v>18528.650016951273</v>
      </c>
      <c r="GT84" s="14">
        <f t="shared" si="136"/>
        <v>255414.50568007026</v>
      </c>
      <c r="GU84" s="14">
        <f>GP84*(VLOOKUP(96,$A$24:$K$72,11,FALSE)-1)</f>
        <v>24479.400441275571</v>
      </c>
      <c r="GV84" s="11">
        <f>GV$83*$D$55/$D$47</f>
        <v>1.0937975768050034</v>
      </c>
      <c r="GW84" s="14">
        <f t="shared" si="139"/>
        <v>32813.9273041501</v>
      </c>
      <c r="GX84" s="14">
        <f t="shared" si="142"/>
        <v>301665.66245213116</v>
      </c>
      <c r="GY84" s="14">
        <f t="shared" si="143"/>
        <v>853136.85174809943</v>
      </c>
      <c r="GZ84" s="14">
        <f t="shared" si="140"/>
        <v>25594.105552442983</v>
      </c>
      <c r="HA84" s="14">
        <f t="shared" si="141"/>
        <v>327259.76800457411</v>
      </c>
      <c r="HB84" s="14">
        <f>GW84*(VLOOKUP(95,$A$24:$K$72,11,FALSE)-1)</f>
        <v>84551.279073522397</v>
      </c>
      <c r="HC84" s="11">
        <f>HC$83*$D$54/$D$47</f>
        <v>2.8877654521825038</v>
      </c>
      <c r="HD84" s="14">
        <f t="shared" si="144"/>
        <v>86632.963565475118</v>
      </c>
      <c r="HE84" s="14">
        <f t="shared" si="147"/>
        <v>375303.95479236194</v>
      </c>
      <c r="HF84" s="14">
        <f t="shared" si="148"/>
        <v>1155247.5201565246</v>
      </c>
      <c r="HG84" s="14">
        <f t="shared" si="145"/>
        <v>34657.425604695738</v>
      </c>
      <c r="HH84" s="14">
        <f t="shared" si="146"/>
        <v>409961.38039705768</v>
      </c>
      <c r="HI84" s="14">
        <f>HD84*(VLOOKUP(94,$A$24:$K$72,11,FALSE)-1)</f>
        <v>241900.72149135001</v>
      </c>
      <c r="HJ84" s="11">
        <f>HJ$83*$D$53/$D$47</f>
        <v>6.4235050566667811</v>
      </c>
      <c r="HK84" s="14">
        <f t="shared" si="149"/>
        <v>192705.15170000342</v>
      </c>
      <c r="HL84" s="14">
        <f t="shared" si="152"/>
        <v>455494.09525419422</v>
      </c>
      <c r="HM84" s="14">
        <f t="shared" si="153"/>
        <v>1530831.7635900408</v>
      </c>
      <c r="HN84" s="14">
        <f t="shared" si="150"/>
        <v>45924.952907701227</v>
      </c>
      <c r="HO84" s="14">
        <f t="shared" si="151"/>
        <v>501419.04816189548</v>
      </c>
      <c r="HP84" s="14">
        <f>HK84*(VLOOKUP(93,$A$24:$K$72,11,FALSE)-1)</f>
        <v>584699.5349591194</v>
      </c>
      <c r="HQ84" s="11">
        <f>HQ$83*$D$52/$D$47</f>
        <v>12.226632141846931</v>
      </c>
      <c r="HR84" s="14">
        <f t="shared" si="154"/>
        <v>366798.96425540792</v>
      </c>
      <c r="HS84" s="14">
        <f t="shared" si="157"/>
        <v>540557.15691472555</v>
      </c>
      <c r="HT84" s="14">
        <f t="shared" si="158"/>
        <v>1986471.6011372316</v>
      </c>
      <c r="HU84" s="14">
        <f t="shared" si="155"/>
        <v>59594.148034116944</v>
      </c>
      <c r="HV84" s="14">
        <f t="shared" si="156"/>
        <v>600151.3049488425</v>
      </c>
      <c r="HW84" s="14">
        <f>HR84*(VLOOKUP(92,$A$24:$K$72,11,FALSE)-1)</f>
        <v>1210647.4714765975</v>
      </c>
      <c r="HX84" s="11">
        <f>HX$83*$D$51/$D$47</f>
        <v>20.18284977008577</v>
      </c>
      <c r="HY84" s="14">
        <f t="shared" si="159"/>
        <v>605485.49310257309</v>
      </c>
      <c r="HZ84" s="14">
        <f t="shared" si="162"/>
        <v>631644.50660872704</v>
      </c>
      <c r="IA84" s="14">
        <f t="shared" si="163"/>
        <v>2527048.4478169591</v>
      </c>
      <c r="IB84" s="14">
        <f t="shared" si="160"/>
        <v>75811.453434508774</v>
      </c>
      <c r="IC84" s="14">
        <f t="shared" si="161"/>
        <v>707455.9600432358</v>
      </c>
      <c r="ID84" s="14">
        <f>HY84*(VLOOKUP(91,$A$24:$K$72,11,FALSE)-1)</f>
        <v>2163541.9491303749</v>
      </c>
      <c r="IE84" s="11">
        <f>IE$83*$D$50/$D$47</f>
        <v>29.334274089595048</v>
      </c>
      <c r="IF84" s="14">
        <f t="shared" si="164"/>
        <v>880028.2226878514</v>
      </c>
      <c r="IG84" s="14">
        <f t="shared" si="167"/>
        <v>728273.68379976263</v>
      </c>
      <c r="IH84" s="14">
        <f t="shared" si="168"/>
        <v>3158629.2416910385</v>
      </c>
      <c r="II84" s="14">
        <f t="shared" si="165"/>
        <v>94758.877250731151</v>
      </c>
      <c r="IJ84" s="14">
        <f t="shared" si="166"/>
        <v>823032.56105049374</v>
      </c>
      <c r="IK84" s="14">
        <f>IF84*(VLOOKUP(90,$A$24:$K$72,11,FALSE)-1)</f>
        <v>3388849.1675512316</v>
      </c>
      <c r="IL84" s="11">
        <f>IL$83*$D$49/$D$47</f>
        <v>38.2435098545252</v>
      </c>
      <c r="IM84" s="14">
        <f t="shared" si="169"/>
        <v>1147305.2956357561</v>
      </c>
      <c r="IN84" s="14">
        <f t="shared" si="172"/>
        <v>827091.56826231501</v>
      </c>
      <c r="IO84" s="14">
        <f t="shared" si="173"/>
        <v>3886798.541885396</v>
      </c>
      <c r="IP84" s="14">
        <f t="shared" si="170"/>
        <v>116603.95625656187</v>
      </c>
      <c r="IQ84" s="14">
        <f t="shared" si="171"/>
        <v>943695.52451887692</v>
      </c>
      <c r="IR84" s="14">
        <f>IM84*(VLOOKUP(89,$A$24:$K$72,11,FALSE)-1)</f>
        <v>4757603.168789289</v>
      </c>
      <c r="IS84" s="11">
        <f>IS$83*$D$48/$D$47</f>
        <v>45.306782435684795</v>
      </c>
      <c r="IT84" s="14">
        <f t="shared" si="174"/>
        <v>1359203.473070544</v>
      </c>
      <c r="IU84" s="14">
        <f t="shared" si="177"/>
        <v>922044.83342952351</v>
      </c>
      <c r="IV84" s="14">
        <f t="shared" si="178"/>
        <v>4713791.2110522874</v>
      </c>
      <c r="IW84" s="14">
        <f t="shared" si="175"/>
        <v>141413.73633156862</v>
      </c>
      <c r="IX84" s="14">
        <f t="shared" si="176"/>
        <v>1063458.5697610921</v>
      </c>
      <c r="IY84" s="14">
        <f>IT84*(VLOOKUP(88,$A$24:$K$72,11,FALSE)-1)</f>
        <v>6092195.9768081522</v>
      </c>
      <c r="IZ84" s="11">
        <f>IZ$83*$D$47/$D$47</f>
        <v>49.086184557138125</v>
      </c>
      <c r="JA84" s="14">
        <f t="shared" si="179"/>
        <v>1472585.5367141438</v>
      </c>
      <c r="JB84" s="14">
        <f t="shared" si="182"/>
        <v>1014680.3889530057</v>
      </c>
      <c r="JC84" s="14">
        <f t="shared" si="183"/>
        <v>5635806.9254477872</v>
      </c>
      <c r="JD84" s="14">
        <f t="shared" si="180"/>
        <v>169074.2077634336</v>
      </c>
      <c r="JE84" s="14">
        <f t="shared" si="181"/>
        <v>1183754.5967164394</v>
      </c>
      <c r="JF84" s="14">
        <f>JA84*(VLOOKUP(87,$A$24:$K$72,11,FALSE)-1)</f>
        <v>7122249.8348555146</v>
      </c>
      <c r="JG84" s="11">
        <f>JG$83*$D$46/$D$47</f>
        <v>49.086579346672131</v>
      </c>
      <c r="JH84" s="14">
        <f t="shared" si="184"/>
        <v>1472597.3804001641</v>
      </c>
      <c r="JI84" s="14">
        <f t="shared" ref="JI84:JI96" si="187">JJ83/$G48</f>
        <v>1109555.5492698282</v>
      </c>
      <c r="JJ84" s="14">
        <f t="shared" ref="JJ84:JJ96" si="188">JJ83-JI84</f>
        <v>6650540.8028275631</v>
      </c>
      <c r="JK84" s="14">
        <f t="shared" si="185"/>
        <v>199516.22408482688</v>
      </c>
      <c r="JL84" s="14">
        <f t="shared" si="186"/>
        <v>1309071.7733546551</v>
      </c>
      <c r="JM84" s="14">
        <f>JH84*(VLOOKUP(86,$A$24:$K$72,11,FALSE)-1)</f>
        <v>7631106.9547475288</v>
      </c>
      <c r="JN84" s="11">
        <f>($N83-$N84)+(JG83-JG84)+(IZ83-IZ84)+(IS83-IS84)+(IL83-IL84)+(IE83-IE84)+(HX83-HX84)+(HQ83-HQ84)+(HJ83-HJ84)+(HC83-HC84)+(GV83-GV84)+(GO83-GO84)+(GH83-GH84)+(GA83-GA84)+(FT83-FT84)+(FM83-FM84)+(FF83-FF84)+(EY83-EY84)+(ER83-ER84)+(EK83-EK84)+(ED83-ED84)+(DW83-DW84)+(DP83-DP84)+(DI83-DI84)+(DB83-DB84)+(CU83-CU84)+(CN83-CN84)+(CG83-CG84)+(BZ83-BZ84)+(BS83-BS84)+(BL83-BL84)+(BE83-BE84)+(AX83-AX84)+(AQ83-AQ84)+(AJ83-AJ84)+(AC83-AC84)+(V83-V84)</f>
        <v>45.68046337662323</v>
      </c>
      <c r="JO84" s="14">
        <f t="shared" ref="JO84:JO96" si="189">JN84*$B$21</f>
        <v>1370413.9012986969</v>
      </c>
      <c r="JP84" s="14">
        <f>JO$46/$G47</f>
        <v>1202131.6525407422</v>
      </c>
      <c r="JQ84" s="14">
        <f>JO$46-JP84</f>
        <v>7760180.0410205452</v>
      </c>
      <c r="JR84" s="14">
        <f t="shared" ref="JR84:JR96" si="190">$B$20*JQ84</f>
        <v>232805.40123061635</v>
      </c>
      <c r="JS84" s="14">
        <f t="shared" ref="JS84:JS96" si="191">JP84+JR84</f>
        <v>1434937.0537713584</v>
      </c>
      <c r="JT84" s="14">
        <f>JO84*(VLOOKUP(85,$A$24:$K$72,11,FALSE)-1)</f>
        <v>7591897.7922625961</v>
      </c>
      <c r="NC84" s="15">
        <v>38</v>
      </c>
      <c r="ND84" s="15">
        <f>N84+V84+AC84+AJ84+AQ84+AX84+BE84+BL84+BS84+BZ84+CG84+CN84+CU84+DB84+DI84+DP84+DW84+ED84+EK84+ER84+EY84+FF84+FM84+FT84+GA84+GH84+GO84+GV84+HC84+HJ84+HQ84+HX84+IE84+IL84+IS84+IZ84+JG84+JN84</f>
        <v>299.99999999999994</v>
      </c>
      <c r="NE84" s="14">
        <f>P84+W84+AD84+AK84+AR84+AY84+BF84+BM84+BT84+CA84+CH84+CO84+CV84+DC84+DJ84+DQ84+DX84+EE84+EL84+ES84+EZ84+FG84+FN84+FU84+GB84+GI84+GP84+GW84+HD84+HK84+HR84+HY84+IF84+IM84+IT84+JA84+JH84+JO84</f>
        <v>8999999.9999999981</v>
      </c>
      <c r="NF84" s="14">
        <f>T84+AA84+AH84+AO84+AV84+BC84+BJ84+BQ84+BX84+CE84+CL84+CS84+CZ84+DG84+DN84+DU84+EB84+EI84+EP84+EW84+FD84+FK84+FR84+FY84+GF84+GM84+GT84+HA84+HH84+HO84+HV84+IC84+IJ84+IQ84+IX84+JE84+JL84+JS84</f>
        <v>10214589.79079286</v>
      </c>
      <c r="NH84" s="14">
        <f>U84+AB84+AI84+AP84+AW84+BD84+BK84+BR84+BY84+CF84+CM84+CT84+DA84+DH84+DO84+DV84+EC84+EJ84+EQ84+EX84+FE84+FL84+FS84+FZ84+GG84+GN84+GU84+HB84+HI84+HP84+HW84+ID84+IK84+IR84+IY84+JF84+JM84+JT84</f>
        <v>40900634.590970151</v>
      </c>
      <c r="NI84" s="14">
        <f>R84+Y84+AF84+AM84+AT84+BA84+BH84+BO84+BV84+CC84+CJ84+CQ84+CX84+DE84+DL84+DS84+DZ84+EG84+EN84+EU84+FB84+FI84+FP84+FW84+GD84+GK84+GR84+GY84+HF84+HM84+HT84+IA84+IH84+IO84+IV84+JC84+JJ84+JQ84</f>
        <v>41760683.334053427</v>
      </c>
    </row>
    <row r="85" spans="1:373" x14ac:dyDescent="0.25">
      <c r="A85" s="1"/>
      <c r="B85" s="3"/>
      <c r="DI85" s="11">
        <f>DI$84*$D$69/$D$47</f>
        <v>1.8183033388601705E-20</v>
      </c>
      <c r="DJ85" s="14">
        <f t="shared" si="74"/>
        <v>5.4549100165805115E-16</v>
      </c>
      <c r="DK85" s="14">
        <f t="shared" si="77"/>
        <v>743.40030150768098</v>
      </c>
      <c r="DL85" s="14">
        <f t="shared" si="78"/>
        <v>371.70015075384049</v>
      </c>
      <c r="DM85" s="14">
        <f t="shared" si="75"/>
        <v>11.151004522615214</v>
      </c>
      <c r="DN85" s="14">
        <f t="shared" si="76"/>
        <v>754.55130603029625</v>
      </c>
      <c r="DO85" s="14">
        <f>DJ85*(VLOOKUP(109,$A$24:$K$72,11,FALSE)-1)</f>
        <v>2.6480145711555881E-16</v>
      </c>
      <c r="DP85" s="11">
        <f>DP$84*$D$68/$D$47</f>
        <v>7.9947120078903777E-18</v>
      </c>
      <c r="DQ85" s="14">
        <f t="shared" si="79"/>
        <v>2.3984136023671131E-13</v>
      </c>
      <c r="DR85" s="14">
        <f t="shared" si="82"/>
        <v>1465.4899050916135</v>
      </c>
      <c r="DS85" s="14">
        <f t="shared" si="83"/>
        <v>1122.8583652811942</v>
      </c>
      <c r="DT85" s="14">
        <f t="shared" si="80"/>
        <v>33.685750958435825</v>
      </c>
      <c r="DU85" s="14">
        <f t="shared" si="81"/>
        <v>1499.1756560500494</v>
      </c>
      <c r="DV85" s="14">
        <f>DQ85*(VLOOKUP(108,$A$24:$K$72,11,FALSE)-1)</f>
        <v>1.7668185429129565E-13</v>
      </c>
      <c r="DW85" s="11">
        <f>DW$84*$D$67/$D$47</f>
        <v>1.981923431974E-15</v>
      </c>
      <c r="DX85" s="14">
        <f t="shared" si="84"/>
        <v>5.9457702959220002E-11</v>
      </c>
      <c r="DY85" s="14">
        <f t="shared" si="87"/>
        <v>2736.6218955714767</v>
      </c>
      <c r="DZ85" s="14">
        <f t="shared" si="88"/>
        <v>2602.7975272695676</v>
      </c>
      <c r="EA85" s="14">
        <f t="shared" si="85"/>
        <v>78.083925818087025</v>
      </c>
      <c r="EB85" s="14">
        <f t="shared" si="86"/>
        <v>2814.7058213895639</v>
      </c>
      <c r="EC85" s="14">
        <f>DX85*(VLOOKUP(107,$A$24:$K$72,11,FALSE)-1)</f>
        <v>5.3984830581445402E-11</v>
      </c>
      <c r="ED85" s="11">
        <f>ED$84*$D$66/$D$47</f>
        <v>2.8888259958508124E-13</v>
      </c>
      <c r="EE85" s="14">
        <f t="shared" si="89"/>
        <v>8.6664779875524371E-9</v>
      </c>
      <c r="EF85" s="14">
        <f t="shared" si="92"/>
        <v>4863.8404711618423</v>
      </c>
      <c r="EG85" s="14">
        <f t="shared" si="93"/>
        <v>5357.9596103364456</v>
      </c>
      <c r="EH85" s="14">
        <f t="shared" si="90"/>
        <v>160.73878831009335</v>
      </c>
      <c r="EI85" s="14">
        <f t="shared" si="91"/>
        <v>5024.579259471936</v>
      </c>
      <c r="EJ85" s="14">
        <f>EE85*(VLOOKUP(106,$A$24:$K$72,11,FALSE)-1)</f>
        <v>9.0638785475546302E-9</v>
      </c>
      <c r="EK85" s="11">
        <f>EK$84*$D$65/$D$47</f>
        <v>2.5744312582520563E-11</v>
      </c>
      <c r="EL85" s="14">
        <f t="shared" si="94"/>
        <v>7.7232937747561689E-7</v>
      </c>
      <c r="EM85" s="14">
        <f t="shared" si="97"/>
        <v>8268.7772829561745</v>
      </c>
      <c r="EN85" s="14">
        <f t="shared" si="98"/>
        <v>10238.871518189337</v>
      </c>
      <c r="EO85" s="14">
        <f t="shared" si="95"/>
        <v>307.16614554568008</v>
      </c>
      <c r="EP85" s="14">
        <f t="shared" si="96"/>
        <v>8575.9434285018542</v>
      </c>
      <c r="EQ85" s="14">
        <f>EL85*(VLOOKUP(105,$A$24:$K$72,11,FALSE)-1)</f>
        <v>9.0386360333072744E-7</v>
      </c>
      <c r="ER85" s="11">
        <f>ER$84*$D$64/$D$47</f>
        <v>1.4538623113274519E-9</v>
      </c>
      <c r="ES85" s="14">
        <f t="shared" si="99"/>
        <v>4.3615869339823559E-5</v>
      </c>
      <c r="ET85" s="14">
        <f t="shared" si="102"/>
        <v>13507.618924609542</v>
      </c>
      <c r="EU85" s="14">
        <f t="shared" si="103"/>
        <v>18518.032765666696</v>
      </c>
      <c r="EV85" s="14">
        <f t="shared" si="100"/>
        <v>555.54098297000087</v>
      </c>
      <c r="EW85" s="14">
        <f t="shared" si="101"/>
        <v>14063.159907579542</v>
      </c>
      <c r="EX85" s="14">
        <f>ES85*(VLOOKUP(104,$A$24:$K$72,11,FALSE)-1)</f>
        <v>5.6290468663103576E-5</v>
      </c>
      <c r="EY85" s="11">
        <f>EY$84*$D$63/$D$47</f>
        <v>5.376124475199131E-8</v>
      </c>
      <c r="EZ85" s="14">
        <f t="shared" si="104"/>
        <v>1.6128373425597392E-3</v>
      </c>
      <c r="FA85" s="14">
        <f t="shared" si="107"/>
        <v>21293.923187988788</v>
      </c>
      <c r="FB85" s="14">
        <f t="shared" si="108"/>
        <v>32028.605743692846</v>
      </c>
      <c r="FC85" s="14">
        <f t="shared" si="105"/>
        <v>960.85817231078533</v>
      </c>
      <c r="FD85" s="14">
        <f t="shared" si="106"/>
        <v>22254.781360299574</v>
      </c>
      <c r="FE85" s="14">
        <f>EZ85*(VLOOKUP(103,$A$24:$K$72,11,FALSE)-1)</f>
        <v>2.2754381081906351E-3</v>
      </c>
      <c r="FF85" s="11">
        <f>FF$84*$D$62/$D$47</f>
        <v>1.341009251085074E-6</v>
      </c>
      <c r="FG85" s="14">
        <f t="shared" si="109"/>
        <v>4.0230277532552219E-2</v>
      </c>
      <c r="FH85" s="14">
        <f t="shared" si="112"/>
        <v>32505.602908836703</v>
      </c>
      <c r="FI85" s="14">
        <f t="shared" si="113"/>
        <v>53323.774174207065</v>
      </c>
      <c r="FJ85" s="14">
        <f t="shared" si="110"/>
        <v>1599.713225226212</v>
      </c>
      <c r="FK85" s="14">
        <f t="shared" si="111"/>
        <v>34105.316134062916</v>
      </c>
      <c r="FL85" s="14">
        <f>FG85*(VLOOKUP(102,$A$24:$K$72,11,FALSE)-1)</f>
        <v>6.1686461184109996E-2</v>
      </c>
      <c r="FM85" s="11">
        <f>FM$84*$D$61/$D$47</f>
        <v>2.3181754525681911E-5</v>
      </c>
      <c r="FN85" s="14">
        <f t="shared" si="114"/>
        <v>0.69545263577045735</v>
      </c>
      <c r="FO85" s="14">
        <f t="shared" si="117"/>
        <v>48188.218030184296</v>
      </c>
      <c r="FP85" s="14">
        <f t="shared" si="118"/>
        <v>85835.104148491489</v>
      </c>
      <c r="FQ85" s="14">
        <f t="shared" si="115"/>
        <v>2575.0531244547446</v>
      </c>
      <c r="FR85" s="14">
        <f t="shared" si="116"/>
        <v>50763.271154639042</v>
      </c>
      <c r="FS85" s="14">
        <f>FN85*(VLOOKUP(101,$A$24:$K$72,11,FALSE)-1)</f>
        <v>1.1539026188196655</v>
      </c>
      <c r="FT85" s="11">
        <f>FT$84*$D$60/$D$47</f>
        <v>2.8469350572937432E-4</v>
      </c>
      <c r="FU85" s="14">
        <f t="shared" si="119"/>
        <v>8.5408051718812299</v>
      </c>
      <c r="FV85" s="14">
        <f t="shared" si="122"/>
        <v>69542.513891190756</v>
      </c>
      <c r="FW85" s="14">
        <f t="shared" si="123"/>
        <v>134036.51668114372</v>
      </c>
      <c r="FX85" s="14">
        <f t="shared" si="120"/>
        <v>4021.0955004343114</v>
      </c>
      <c r="FY85" s="14">
        <f t="shared" si="121"/>
        <v>73563.609391625068</v>
      </c>
      <c r="FZ85" s="14">
        <f>FU85*(VLOOKUP(100,$A$24:$K$72,11,FALSE)-1)</f>
        <v>15.280853537656354</v>
      </c>
      <c r="GA85" s="11">
        <f>GA$84*$D$59/$D$47</f>
        <v>2.5410436295702677E-3</v>
      </c>
      <c r="GB85" s="14">
        <f t="shared" si="124"/>
        <v>76.231308887108028</v>
      </c>
      <c r="GC85" s="14">
        <f t="shared" si="127"/>
        <v>97899.071375804502</v>
      </c>
      <c r="GD85" s="14">
        <f t="shared" si="128"/>
        <v>203593.62782095477</v>
      </c>
      <c r="GE85" s="14">
        <f t="shared" si="125"/>
        <v>6107.8088346286431</v>
      </c>
      <c r="GF85" s="14">
        <f t="shared" si="126"/>
        <v>104006.88021043314</v>
      </c>
      <c r="GG85" s="14">
        <f>GB85*(VLOOKUP(99,$A$24:$K$72,11,FALSE)-1)</f>
        <v>146.64669777333245</v>
      </c>
      <c r="GH85" s="11">
        <f>GH$84*$D$58/$D$47</f>
        <v>1.6892270045079823E-2</v>
      </c>
      <c r="GI85" s="14">
        <f t="shared" si="129"/>
        <v>506.76810135239469</v>
      </c>
      <c r="GJ85" s="14">
        <f t="shared" si="132"/>
        <v>134690.86767732695</v>
      </c>
      <c r="GK85" s="14">
        <f t="shared" si="133"/>
        <v>301474.99519299268</v>
      </c>
      <c r="GL85" s="14">
        <f t="shared" si="130"/>
        <v>9044.2498557897798</v>
      </c>
      <c r="GM85" s="14">
        <f t="shared" si="131"/>
        <v>143735.11753311675</v>
      </c>
      <c r="GN85" s="14">
        <f>GI85*(VLOOKUP(98,$A$24:$K$72,11,FALSE)-1)</f>
        <v>1045.4922130922273</v>
      </c>
      <c r="GO85" s="11">
        <f>GO$84*$D$57/$D$47</f>
        <v>8.5899129997265067E-2</v>
      </c>
      <c r="GP85" s="14">
        <f t="shared" si="134"/>
        <v>2576.9738999179522</v>
      </c>
      <c r="GQ85" s="14">
        <f t="shared" si="137"/>
        <v>181004.48231218918</v>
      </c>
      <c r="GR85" s="14">
        <f t="shared" si="138"/>
        <v>436617.18491951993</v>
      </c>
      <c r="GS85" s="14">
        <f t="shared" si="135"/>
        <v>13098.515547585597</v>
      </c>
      <c r="GT85" s="14">
        <f t="shared" si="136"/>
        <v>194102.99785977477</v>
      </c>
      <c r="GU85" s="14">
        <f>GP85*(VLOOKUP(97,$A$24:$K$72,11,FALSE)-1)</f>
        <v>5708.5532105502107</v>
      </c>
      <c r="GV85" s="11">
        <f>GV$84*$D$56/$D$47</f>
        <v>0.34155388985064727</v>
      </c>
      <c r="GW85" s="14">
        <f t="shared" si="139"/>
        <v>10246.616695519418</v>
      </c>
      <c r="GX85" s="14">
        <f t="shared" si="142"/>
        <v>236505.87936247082</v>
      </c>
      <c r="GY85" s="14">
        <f t="shared" si="143"/>
        <v>616630.97238562861</v>
      </c>
      <c r="GZ85" s="14">
        <f t="shared" si="140"/>
        <v>18498.929171568856</v>
      </c>
      <c r="HA85" s="14">
        <f t="shared" si="141"/>
        <v>255004.80853403968</v>
      </c>
      <c r="HB85" s="14">
        <f>GW85*(VLOOKUP(96,$A$24:$K$72,11,FALSE)-1)</f>
        <v>24440.13430613331</v>
      </c>
      <c r="HC85" s="11">
        <f>HC$84*$D$55/$D$47</f>
        <v>1.0942190743603644</v>
      </c>
      <c r="HD85" s="14">
        <f t="shared" si="144"/>
        <v>32826.572230810933</v>
      </c>
      <c r="HE85" s="14">
        <f t="shared" si="147"/>
        <v>301781.91004853818</v>
      </c>
      <c r="HF85" s="14">
        <f t="shared" si="148"/>
        <v>853465.61010798649</v>
      </c>
      <c r="HG85" s="14">
        <f t="shared" si="145"/>
        <v>25603.968303239595</v>
      </c>
      <c r="HH85" s="14">
        <f t="shared" si="146"/>
        <v>327385.87835177779</v>
      </c>
      <c r="HI85" s="14">
        <f>HD85*(VLOOKUP(95,$A$24:$K$72,11,FALSE)-1)</f>
        <v>84583.861114466607</v>
      </c>
      <c r="HJ85" s="11">
        <f>HJ$84*$D$54/$D$47</f>
        <v>2.8882942863104701</v>
      </c>
      <c r="HK85" s="14">
        <f t="shared" si="149"/>
        <v>86648.8285893141</v>
      </c>
      <c r="HL85" s="14">
        <f t="shared" si="152"/>
        <v>375372.6838989816</v>
      </c>
      <c r="HM85" s="14">
        <f t="shared" si="153"/>
        <v>1155459.0796910592</v>
      </c>
      <c r="HN85" s="14">
        <f t="shared" si="150"/>
        <v>34663.772390731778</v>
      </c>
      <c r="HO85" s="14">
        <f t="shared" si="151"/>
        <v>410036.45628971339</v>
      </c>
      <c r="HP85" s="14">
        <f>HK85*(VLOOKUP(94,$A$24:$K$72,11,FALSE)-1)</f>
        <v>241945.02057284486</v>
      </c>
      <c r="HQ85" s="11">
        <f>HQ$84*$D$53/$D$47</f>
        <v>6.423976367228363</v>
      </c>
      <c r="HR85" s="14">
        <f t="shared" si="154"/>
        <v>192719.29101685088</v>
      </c>
      <c r="HS85" s="14">
        <f t="shared" si="157"/>
        <v>455527.51613203919</v>
      </c>
      <c r="HT85" s="14">
        <f t="shared" si="158"/>
        <v>1530944.0850051923</v>
      </c>
      <c r="HU85" s="14">
        <f t="shared" si="155"/>
        <v>45928.322550155768</v>
      </c>
      <c r="HV85" s="14">
        <f t="shared" si="156"/>
        <v>501455.83868219494</v>
      </c>
      <c r="HW85" s="14">
        <f>HR85*(VLOOKUP(93,$A$24:$K$72,11,FALSE)-1)</f>
        <v>584742.43600204645</v>
      </c>
      <c r="HX85" s="11">
        <f>HX$84*$D$52/$D$47</f>
        <v>12.226727407685468</v>
      </c>
      <c r="HY85" s="14">
        <f t="shared" si="159"/>
        <v>366801.82223056402</v>
      </c>
      <c r="HZ85" s="14">
        <f t="shared" si="162"/>
        <v>540561.36875574873</v>
      </c>
      <c r="IA85" s="14">
        <f t="shared" si="163"/>
        <v>1986487.0790612104</v>
      </c>
      <c r="IB85" s="14">
        <f t="shared" si="160"/>
        <v>59594.612371836309</v>
      </c>
      <c r="IC85" s="14">
        <f t="shared" si="161"/>
        <v>600155.98112758505</v>
      </c>
      <c r="ID85" s="14">
        <f>HY85*(VLOOKUP(92,$A$24:$K$72,11,FALSE)-1)</f>
        <v>1210656.9044377927</v>
      </c>
      <c r="IE85" s="11">
        <f>IE$84*$D$51/$D$47</f>
        <v>20.182442669879979</v>
      </c>
      <c r="IF85" s="14">
        <f t="shared" si="164"/>
        <v>605473.28009639936</v>
      </c>
      <c r="IG85" s="14">
        <f t="shared" si="167"/>
        <v>631631.76595953398</v>
      </c>
      <c r="IH85" s="14">
        <f t="shared" si="168"/>
        <v>2526997.4757315046</v>
      </c>
      <c r="II85" s="14">
        <f t="shared" si="165"/>
        <v>75809.924271945129</v>
      </c>
      <c r="IJ85" s="14">
        <f t="shared" si="166"/>
        <v>707441.69023147912</v>
      </c>
      <c r="IK85" s="14">
        <f>IF85*(VLOOKUP(91,$A$24:$K$72,11,FALSE)-1)</f>
        <v>2163498.3091893974</v>
      </c>
      <c r="IL85" s="11">
        <f>IL$84*$D$50/$D$47</f>
        <v>29.333486311420451</v>
      </c>
      <c r="IM85" s="14">
        <f t="shared" si="169"/>
        <v>880004.58934261347</v>
      </c>
      <c r="IN85" s="14">
        <f t="shared" si="172"/>
        <v>728254.12585496844</v>
      </c>
      <c r="IO85" s="14">
        <f t="shared" si="173"/>
        <v>3158544.4160304274</v>
      </c>
      <c r="IP85" s="14">
        <f t="shared" si="170"/>
        <v>94756.332480912824</v>
      </c>
      <c r="IQ85" s="14">
        <f t="shared" si="171"/>
        <v>823010.45833588124</v>
      </c>
      <c r="IR85" s="14">
        <f>IM85*(VLOOKUP(90,$A$24:$K$72,11,FALSE)-1)</f>
        <v>3388758.1592855062</v>
      </c>
      <c r="IS85" s="11">
        <f>IS$84*$D$49/$D$47</f>
        <v>38.242707492051345</v>
      </c>
      <c r="IT85" s="14">
        <f t="shared" si="174"/>
        <v>1147281.2247615403</v>
      </c>
      <c r="IU85" s="14">
        <f t="shared" si="177"/>
        <v>827074.21558628255</v>
      </c>
      <c r="IV85" s="14">
        <f t="shared" si="178"/>
        <v>3886716.9954660051</v>
      </c>
      <c r="IW85" s="14">
        <f t="shared" si="175"/>
        <v>116601.50986398014</v>
      </c>
      <c r="IX85" s="14">
        <f t="shared" si="176"/>
        <v>943675.72545026266</v>
      </c>
      <c r="IY85" s="14">
        <f>IT85*(VLOOKUP(89,$A$24:$K$72,11,FALSE)-1)</f>
        <v>4757503.3525783122</v>
      </c>
      <c r="IZ85" s="11">
        <f>IZ$84*$D$48/$D$47</f>
        <v>45.306548346238486</v>
      </c>
      <c r="JA85" s="14">
        <f t="shared" si="179"/>
        <v>1359196.4503871545</v>
      </c>
      <c r="JB85" s="14">
        <f t="shared" si="182"/>
        <v>922040.06944159628</v>
      </c>
      <c r="JC85" s="14">
        <f t="shared" si="183"/>
        <v>4713766.8560061911</v>
      </c>
      <c r="JD85" s="14">
        <f t="shared" si="180"/>
        <v>141413.00568018574</v>
      </c>
      <c r="JE85" s="14">
        <f t="shared" si="181"/>
        <v>1063453.075121782</v>
      </c>
      <c r="JF85" s="14">
        <f>JA85*(VLOOKUP(88,$A$24:$K$72,11,FALSE)-1)</f>
        <v>6092164.4998701224</v>
      </c>
      <c r="JG85" s="11">
        <f>JG$84*$D$47/$D$47</f>
        <v>49.086579346672131</v>
      </c>
      <c r="JH85" s="14">
        <f t="shared" si="184"/>
        <v>1472597.3804001641</v>
      </c>
      <c r="JI85" s="14">
        <f t="shared" si="187"/>
        <v>1014688.549807258</v>
      </c>
      <c r="JJ85" s="14">
        <f t="shared" si="188"/>
        <v>5635852.2530203052</v>
      </c>
      <c r="JK85" s="14">
        <f t="shared" si="185"/>
        <v>169075.56759060916</v>
      </c>
      <c r="JL85" s="14">
        <f t="shared" si="186"/>
        <v>1183764.1173978671</v>
      </c>
      <c r="JM85" s="14">
        <f>JH85*(VLOOKUP(87,$A$24:$K$72,11,FALSE)-1)</f>
        <v>7122307.1175658898</v>
      </c>
      <c r="JN85" s="11">
        <f>JN$84*$D$46/$D$47</f>
        <v>49.087108721924807</v>
      </c>
      <c r="JO85" s="14">
        <f t="shared" si="189"/>
        <v>1472613.2616577442</v>
      </c>
      <c r="JP85" s="14">
        <f t="shared" ref="JP85:JP96" si="192">JQ84/$G48</f>
        <v>1109567.5152951048</v>
      </c>
      <c r="JQ85" s="14">
        <f t="shared" ref="JQ85:JQ96" si="193">JQ84-JP85</f>
        <v>6650612.5257254401</v>
      </c>
      <c r="JR85" s="14">
        <f t="shared" si="190"/>
        <v>199518.37577176321</v>
      </c>
      <c r="JS85" s="14">
        <f t="shared" si="191"/>
        <v>1309085.8910668681</v>
      </c>
      <c r="JT85" s="14">
        <f>JO85*(VLOOKUP(86,$A$24:$K$72,11,FALSE)-1)</f>
        <v>7631189.2525818069</v>
      </c>
      <c r="JU85" s="11">
        <f>($N84-$N85)+(JN84-JN85)+(JG84-JG85)+(IZ84-IZ85)+(IS84-IS85)+(IL84-IL85)+(IE84-IE85)+(HX84-HX85)+(HQ84-HQ85)+(HJ84-HJ85)+(HC84-HC85)+(GV84-GV85)+(GO84-GO85)+(GH84-GH85)+(GA84-GA85)+(FT84-FT85)+(FM84-FM85)+(FF84-FF85)+(EY84-EY85)+(ER84-ER85)+(EK84-EK85)+(ED84-ED85)+(DW84-DW85)+(DP84-DP85)+(DI84-DI85)+(DB84-DB85)+(CU84-CU85)+(CN84-CN85)+(CG84-CG85)+(BZ84-BZ85)+(BS84-BS85)+(BL84-BL85)+(BE84-BE85)+(AX84-AX85)+(AQ84-AQ85)+(AJ84-AJ85)+(AC84-AC85)+(V84-V85)</f>
        <v>45.68071437119486</v>
      </c>
      <c r="JV85" s="14">
        <f t="shared" ref="JV85:JV96" si="194">JU85*$B$21</f>
        <v>1370421.4311358458</v>
      </c>
      <c r="JW85" s="14">
        <f>JV$46/$G47</f>
        <v>1202138.2577390471</v>
      </c>
      <c r="JX85" s="14">
        <f>JV$46-JW85</f>
        <v>7760222.679884553</v>
      </c>
      <c r="JY85" s="14">
        <f t="shared" ref="JY85:JY96" si="195">$B$20*JX85</f>
        <v>232806.68039653657</v>
      </c>
      <c r="JZ85" s="14">
        <f t="shared" ref="JZ85:JZ96" si="196">JW85+JY85</f>
        <v>1434944.9381355837</v>
      </c>
      <c r="KA85" s="14">
        <f>JV85*(VLOOKUP(85,$A$24:$K$72,11,FALSE)-1)</f>
        <v>7591939.5064877458</v>
      </c>
      <c r="NC85" s="15">
        <v>39</v>
      </c>
      <c r="ND85" s="15">
        <f>N85+V85+AC85+AJ85+AQ85+AX85+BE85+BL85+BS85+BZ85+CG85+CN85+CU85+DB85+DI85+DP85+DW85+ED85+EK85+ER85+EY85+FF85+FM85+FT85+GA85+GH85+GO85+GV85+HC85+HJ85+HQ85+HX85+IE85+IL85+IS85+IZ85+JG85+JN85+JU85</f>
        <v>299.99999999999994</v>
      </c>
      <c r="NE85" s="14">
        <f>P85+W85+AD85+AK85+AR85+AY85+BF85+BM85+BT85+CA85+CH85+CO85+CV85+DC85+DJ85+DQ85+DX85+EE85+EL85+ES85+EZ85+FG85+FN85+FU85+GB85+GI85+GP85+GW85+HD85+HK85+HR85+HY85+IF85+IM85+IT85+JA85+JH85+JO85+JV85</f>
        <v>8999999.9999999981</v>
      </c>
      <c r="NF85" s="14">
        <f>T85+AA85+AH85+AO85+AV85+BC85+BJ85+BQ85+BX85+CE85+CL85+CS85+CZ85+DG85+DN85+DU85+EB85+EI85+EP85+EW85+FD85+FK85+FR85+FY85+GF85+GM85+GT85+HA85+HH85+HO85+HV85+IC85+IJ85+IQ85+IX85+JE85+JL85+JS85+JZ85</f>
        <v>10214678.947748009</v>
      </c>
      <c r="NH85" s="14">
        <f>U85+AB85+AI85+AP85+AW85+BD85+BK85+BR85+BY85+CF85+CM85+CT85+DA85+DH85+DO85+DV85+EC85+EJ85+EQ85+EX85+FE85+FL85+FS85+FZ85+GG85+GN85+GU85+HB85+HI85+HP85+HW85+ID85+IK85+IR85+IY85+JF85+JM85+JT85+KA85</f>
        <v>40900645.744888738</v>
      </c>
      <c r="NI85" s="14">
        <f>R85+Y85+AF85+AM85+AT85+BA85+BH85+BO85+BV85+CC85+CJ85+CQ85+CX85+DE85+DL85+DS85+DZ85+EG85+EN85+EU85+FB85+FI85+FP85+FW85+GD85+GK85+GR85+GY85+HF85+HM85+HT85+IA85+IH85+IO85+IV85+JC85+JJ85+JQ85+JX85</f>
        <v>41760822.056734003</v>
      </c>
    </row>
    <row r="86" spans="1:373" x14ac:dyDescent="0.25">
      <c r="A86" s="1"/>
      <c r="B86" s="3"/>
      <c r="DP86" s="11">
        <f>DP$85*$D$69/$D$47</f>
        <v>1.8309535347395189E-20</v>
      </c>
      <c r="DQ86" s="14">
        <f t="shared" si="79"/>
        <v>5.4928606042185561E-16</v>
      </c>
      <c r="DR86" s="14">
        <f t="shared" si="82"/>
        <v>748.57224352079618</v>
      </c>
      <c r="DS86" s="14">
        <f t="shared" si="83"/>
        <v>374.28612176039803</v>
      </c>
      <c r="DT86" s="14">
        <f t="shared" si="80"/>
        <v>11.22858365281194</v>
      </c>
      <c r="DU86" s="14">
        <f t="shared" si="81"/>
        <v>759.80082717360813</v>
      </c>
      <c r="DV86" s="14">
        <f>DQ86*(VLOOKUP(109,$A$24:$K$72,11,FALSE)-1)</f>
        <v>2.6664371865138622E-16</v>
      </c>
      <c r="DW86" s="11">
        <f>DW$85*$D$68/$D$47</f>
        <v>8.039341878197973E-18</v>
      </c>
      <c r="DX86" s="14">
        <f t="shared" si="84"/>
        <v>2.411802563459392E-13</v>
      </c>
      <c r="DY86" s="14">
        <f t="shared" si="87"/>
        <v>1473.6708907652403</v>
      </c>
      <c r="DZ86" s="14">
        <f t="shared" si="88"/>
        <v>1129.1266365043273</v>
      </c>
      <c r="EA86" s="14">
        <f t="shared" si="85"/>
        <v>33.873799095129819</v>
      </c>
      <c r="EB86" s="14">
        <f t="shared" si="86"/>
        <v>1507.5446898603702</v>
      </c>
      <c r="EC86" s="14">
        <f>DX86*(VLOOKUP(108,$A$24:$K$72,11,FALSE)-1)</f>
        <v>1.776681672735449E-13</v>
      </c>
      <c r="ED86" s="11">
        <f>ED$85*$D$67/$D$47</f>
        <v>1.9888053097813764E-15</v>
      </c>
      <c r="EE86" s="14">
        <f t="shared" si="89"/>
        <v>5.9664159293441296E-11</v>
      </c>
      <c r="EF86" s="14">
        <f t="shared" si="92"/>
        <v>2746.1243300179767</v>
      </c>
      <c r="EG86" s="14">
        <f t="shared" si="93"/>
        <v>2611.8352803184689</v>
      </c>
      <c r="EH86" s="14">
        <f t="shared" si="90"/>
        <v>78.355058409554061</v>
      </c>
      <c r="EI86" s="14">
        <f t="shared" si="91"/>
        <v>2824.4793884275309</v>
      </c>
      <c r="EJ86" s="14">
        <f>EE86*(VLOOKUP(107,$A$24:$K$72,11,FALSE)-1)</f>
        <v>5.4172283336440785E-11</v>
      </c>
      <c r="EK86" s="11">
        <f>EK$85*$D$66/$D$47</f>
        <v>2.8936506265133582E-13</v>
      </c>
      <c r="EL86" s="14">
        <f t="shared" si="94"/>
        <v>8.6809518795400743E-9</v>
      </c>
      <c r="EM86" s="14">
        <f t="shared" si="97"/>
        <v>4871.9635751177784</v>
      </c>
      <c r="EN86" s="14">
        <f t="shared" si="98"/>
        <v>5366.9079430715583</v>
      </c>
      <c r="EO86" s="14">
        <f t="shared" si="95"/>
        <v>161.00723829214675</v>
      </c>
      <c r="EP86" s="14">
        <f t="shared" si="96"/>
        <v>5032.9708134099255</v>
      </c>
      <c r="EQ86" s="14">
        <f>EL86*(VLOOKUP(106,$A$24:$K$72,11,FALSE)-1)</f>
        <v>9.0790161385431258E-9</v>
      </c>
      <c r="ER86" s="11">
        <f>ER$85*$D$65/$D$47</f>
        <v>2.5758756774289679E-11</v>
      </c>
      <c r="ES86" s="14">
        <f t="shared" si="99"/>
        <v>7.7276270322869038E-7</v>
      </c>
      <c r="ET86" s="14">
        <f t="shared" si="102"/>
        <v>8273.4165913233446</v>
      </c>
      <c r="EU86" s="14">
        <f t="shared" si="103"/>
        <v>10244.616174343351</v>
      </c>
      <c r="EV86" s="14">
        <f t="shared" si="100"/>
        <v>307.33848523030053</v>
      </c>
      <c r="EW86" s="14">
        <f t="shared" si="101"/>
        <v>8580.7550765536453</v>
      </c>
      <c r="EX86" s="14">
        <f>ES86*(VLOOKUP(105,$A$24:$K$72,11,FALSE)-1)</f>
        <v>9.043707281249042E-7</v>
      </c>
      <c r="EY86" s="11">
        <f>EY$85*$D$64/$D$47</f>
        <v>1.4539964159186569E-9</v>
      </c>
      <c r="EZ86" s="14">
        <f t="shared" si="104"/>
        <v>4.3619892477559707E-5</v>
      </c>
      <c r="FA86" s="14">
        <f t="shared" si="107"/>
        <v>13508.864870460086</v>
      </c>
      <c r="FB86" s="14">
        <f t="shared" si="108"/>
        <v>18519.74087323276</v>
      </c>
      <c r="FC86" s="14">
        <f t="shared" si="105"/>
        <v>555.59222619698278</v>
      </c>
      <c r="FD86" s="14">
        <f t="shared" si="106"/>
        <v>14064.457096657068</v>
      </c>
      <c r="FE86" s="14">
        <f>EZ86*(VLOOKUP(104,$A$24:$K$72,11,FALSE)-1)</f>
        <v>5.6295660908772224E-5</v>
      </c>
      <c r="FF86" s="11">
        <f>FF$85*$D$63/$D$47</f>
        <v>5.3762500239859689E-8</v>
      </c>
      <c r="FG86" s="14">
        <f t="shared" si="109"/>
        <v>1.6128750071957906E-3</v>
      </c>
      <c r="FH86" s="14">
        <f t="shared" si="112"/>
        <v>21294.420465578922</v>
      </c>
      <c r="FI86" s="14">
        <f t="shared" si="113"/>
        <v>32029.353708628143</v>
      </c>
      <c r="FJ86" s="14">
        <f t="shared" si="110"/>
        <v>960.88061125884428</v>
      </c>
      <c r="FK86" s="14">
        <f t="shared" si="111"/>
        <v>22255.301076837764</v>
      </c>
      <c r="FL86" s="14">
        <f>FG86*(VLOOKUP(103,$A$24:$K$72,11,FALSE)-1)</f>
        <v>2.2754912465610959E-3</v>
      </c>
      <c r="FM86" s="11">
        <f>FM$85*$D$62/$D$47</f>
        <v>1.3410987314938574E-6</v>
      </c>
      <c r="FN86" s="14">
        <f t="shared" si="114"/>
        <v>4.0232961944815723E-2</v>
      </c>
      <c r="FO86" s="14">
        <f t="shared" si="117"/>
        <v>32507.771883162313</v>
      </c>
      <c r="FP86" s="14">
        <f t="shared" si="118"/>
        <v>53327.332265329176</v>
      </c>
      <c r="FQ86" s="14">
        <f t="shared" si="115"/>
        <v>1599.8199679598752</v>
      </c>
      <c r="FR86" s="14">
        <f t="shared" si="116"/>
        <v>34107.59185112219</v>
      </c>
      <c r="FS86" s="14">
        <f>FN86*(VLOOKUP(102,$A$24:$K$72,11,FALSE)-1)</f>
        <v>6.1690577285291766E-2</v>
      </c>
      <c r="FT86" s="11">
        <f>FT$85*$D$61/$D$47</f>
        <v>2.3184036753225057E-5</v>
      </c>
      <c r="FU86" s="14">
        <f t="shared" si="119"/>
        <v>0.69552110259675171</v>
      </c>
      <c r="FV86" s="14">
        <f t="shared" si="122"/>
        <v>48192.962126595194</v>
      </c>
      <c r="FW86" s="14">
        <f t="shared" si="123"/>
        <v>85843.554554548522</v>
      </c>
      <c r="FX86" s="14">
        <f t="shared" si="120"/>
        <v>2575.3066366364556</v>
      </c>
      <c r="FY86" s="14">
        <f t="shared" si="121"/>
        <v>50768.268763231652</v>
      </c>
      <c r="FZ86" s="14">
        <f>FU86*(VLOOKUP(101,$A$24:$K$72,11,FALSE)-1)</f>
        <v>1.1540162197266142</v>
      </c>
      <c r="GA86" s="11">
        <f>GA$85*$D$60/$D$47</f>
        <v>2.8471391913773041E-4</v>
      </c>
      <c r="GB86" s="14">
        <f t="shared" si="124"/>
        <v>8.5414175741319127</v>
      </c>
      <c r="GC86" s="14">
        <f t="shared" si="127"/>
        <v>69547.500305371519</v>
      </c>
      <c r="GD86" s="14">
        <f t="shared" si="128"/>
        <v>134046.12751558324</v>
      </c>
      <c r="GE86" s="14">
        <f t="shared" si="125"/>
        <v>4021.383825467497</v>
      </c>
      <c r="GF86" s="14">
        <f t="shared" si="126"/>
        <v>73568.884130839011</v>
      </c>
      <c r="GG86" s="14">
        <f>GB86*(VLOOKUP(100,$A$24:$K$72,11,FALSE)-1)</f>
        <v>15.281949222303233</v>
      </c>
      <c r="GH86" s="11">
        <f>GH$85*$D$59/$D$47</f>
        <v>2.5408944165176495E-3</v>
      </c>
      <c r="GI86" s="14">
        <f t="shared" si="129"/>
        <v>76.226832495529479</v>
      </c>
      <c r="GJ86" s="14">
        <f t="shared" si="132"/>
        <v>97893.322627881251</v>
      </c>
      <c r="GK86" s="14">
        <f t="shared" si="133"/>
        <v>203581.67256511142</v>
      </c>
      <c r="GL86" s="14">
        <f t="shared" si="130"/>
        <v>6107.4501769533426</v>
      </c>
      <c r="GM86" s="14">
        <f t="shared" si="131"/>
        <v>104000.77280483459</v>
      </c>
      <c r="GN86" s="14">
        <f>GI86*(VLOOKUP(99,$A$24:$K$72,11,FALSE)-1)</f>
        <v>146.63808650779708</v>
      </c>
      <c r="GO86" s="11">
        <f>GO$85*$D$58/$D$47</f>
        <v>1.6909749299146622E-2</v>
      </c>
      <c r="GP86" s="14">
        <f t="shared" si="134"/>
        <v>507.29247897439865</v>
      </c>
      <c r="GQ86" s="14">
        <f t="shared" si="137"/>
        <v>134830.23887434971</v>
      </c>
      <c r="GR86" s="14">
        <f t="shared" si="138"/>
        <v>301786.94604517019</v>
      </c>
      <c r="GS86" s="14">
        <f t="shared" si="135"/>
        <v>9053.6083813551049</v>
      </c>
      <c r="GT86" s="14">
        <f t="shared" si="136"/>
        <v>143883.84725570481</v>
      </c>
      <c r="GU86" s="14">
        <f>GP86*(VLOOKUP(98,$A$24:$K$72,11,FALSE)-1)</f>
        <v>1046.5740347756796</v>
      </c>
      <c r="GV86" s="11">
        <f>GV$85*$D$57/$D$47</f>
        <v>8.5761343663193421E-2</v>
      </c>
      <c r="GW86" s="14">
        <f t="shared" si="139"/>
        <v>2572.8403098958024</v>
      </c>
      <c r="GX86" s="14">
        <f t="shared" si="142"/>
        <v>180714.14242086397</v>
      </c>
      <c r="GY86" s="14">
        <f t="shared" si="143"/>
        <v>435916.82996476465</v>
      </c>
      <c r="GZ86" s="14">
        <f t="shared" si="140"/>
        <v>13077.50489894294</v>
      </c>
      <c r="HA86" s="14">
        <f t="shared" si="141"/>
        <v>193791.64731980691</v>
      </c>
      <c r="HB86" s="14">
        <f>GW86*(VLOOKUP(97,$A$24:$K$72,11,FALSE)-1)</f>
        <v>5699.3964167647591</v>
      </c>
      <c r="HC86" s="11">
        <f>HC$85*$D$56/$D$47</f>
        <v>0.34168550847245532</v>
      </c>
      <c r="HD86" s="14">
        <f t="shared" si="144"/>
        <v>10250.56525417366</v>
      </c>
      <c r="HE86" s="14">
        <f t="shared" si="147"/>
        <v>236597.01747805395</v>
      </c>
      <c r="HF86" s="14">
        <f t="shared" si="148"/>
        <v>616868.59262993257</v>
      </c>
      <c r="HG86" s="14">
        <f t="shared" si="145"/>
        <v>18506.057778897975</v>
      </c>
      <c r="HH86" s="14">
        <f t="shared" si="146"/>
        <v>255103.07525695194</v>
      </c>
      <c r="HI86" s="14">
        <f>HD86*(VLOOKUP(96,$A$24:$K$72,11,FALSE)-1)</f>
        <v>24449.552371304766</v>
      </c>
      <c r="HJ86" s="11">
        <f>HJ$85*$D$55/$D$47</f>
        <v>1.0944194578054796</v>
      </c>
      <c r="HK86" s="14">
        <f t="shared" si="149"/>
        <v>32832.583734164386</v>
      </c>
      <c r="HL86" s="14">
        <f t="shared" si="152"/>
        <v>301837.17512317101</v>
      </c>
      <c r="HM86" s="14">
        <f t="shared" si="153"/>
        <v>853621.90456788824</v>
      </c>
      <c r="HN86" s="14">
        <f t="shared" si="150"/>
        <v>25608.657137036647</v>
      </c>
      <c r="HO86" s="14">
        <f t="shared" si="151"/>
        <v>327445.83226020768</v>
      </c>
      <c r="HP86" s="14">
        <f>HK86*(VLOOKUP(95,$A$24:$K$72,11,FALSE)-1)</f>
        <v>84599.350887847831</v>
      </c>
      <c r="HQ86" s="11">
        <f>HQ$85*$D$54/$D$47</f>
        <v>2.8885062085538689</v>
      </c>
      <c r="HR86" s="14">
        <f t="shared" si="154"/>
        <v>86655.186256616071</v>
      </c>
      <c r="HS86" s="14">
        <f t="shared" si="157"/>
        <v>375400.22604441358</v>
      </c>
      <c r="HT86" s="14">
        <f t="shared" si="158"/>
        <v>1155543.8589607787</v>
      </c>
      <c r="HU86" s="14">
        <f t="shared" si="155"/>
        <v>34666.315768823362</v>
      </c>
      <c r="HV86" s="14">
        <f t="shared" si="156"/>
        <v>410066.54181323695</v>
      </c>
      <c r="HW86" s="14">
        <f>HR86*(VLOOKUP(94,$A$24:$K$72,11,FALSE)-1)</f>
        <v>241962.77275681795</v>
      </c>
      <c r="HX86" s="11">
        <f>HX$85*$D$53/$D$47</f>
        <v>6.4240264207090156</v>
      </c>
      <c r="HY86" s="14">
        <f t="shared" si="159"/>
        <v>192720.79262127046</v>
      </c>
      <c r="HZ86" s="14">
        <f t="shared" si="162"/>
        <v>455531.06545046938</v>
      </c>
      <c r="IA86" s="14">
        <f t="shared" si="163"/>
        <v>1530956.0136107411</v>
      </c>
      <c r="IB86" s="14">
        <f t="shared" si="160"/>
        <v>45928.680408322231</v>
      </c>
      <c r="IC86" s="14">
        <f t="shared" si="161"/>
        <v>501459.74585879163</v>
      </c>
      <c r="ID86" s="14">
        <f>HY86*(VLOOKUP(93,$A$24:$K$72,11,FALSE)-1)</f>
        <v>584746.99212002289</v>
      </c>
      <c r="IE86" s="11">
        <f>IE$85*$D$52/$D$47</f>
        <v>12.226480787247793</v>
      </c>
      <c r="IF86" s="14">
        <f t="shared" si="164"/>
        <v>366794.42361743376</v>
      </c>
      <c r="IG86" s="14">
        <f t="shared" si="167"/>
        <v>540550.46530816925</v>
      </c>
      <c r="IH86" s="14">
        <f t="shared" si="168"/>
        <v>1986447.0104233352</v>
      </c>
      <c r="II86" s="14">
        <f t="shared" si="165"/>
        <v>59593.410312700056</v>
      </c>
      <c r="IJ86" s="14">
        <f t="shared" si="166"/>
        <v>600143.87562086934</v>
      </c>
      <c r="IK86" s="14">
        <f>IF86*(VLOOKUP(92,$A$24:$K$72,11,FALSE)-1)</f>
        <v>1210632.4847606632</v>
      </c>
      <c r="IL86" s="11">
        <f>IL$85*$D$51/$D$47</f>
        <v>20.181900666086165</v>
      </c>
      <c r="IM86" s="14">
        <f t="shared" si="169"/>
        <v>605457.01998258498</v>
      </c>
      <c r="IN86" s="14">
        <f t="shared" si="172"/>
        <v>631614.80335401406</v>
      </c>
      <c r="IO86" s="14">
        <f t="shared" si="173"/>
        <v>2526929.6126764133</v>
      </c>
      <c r="IP86" s="14">
        <f t="shared" si="170"/>
        <v>75807.888380292396</v>
      </c>
      <c r="IQ86" s="14">
        <f t="shared" si="171"/>
        <v>707422.69173430651</v>
      </c>
      <c r="IR86" s="14">
        <f>IM86*(VLOOKUP(91,$A$24:$K$72,11,FALSE)-1)</f>
        <v>2163440.2079817951</v>
      </c>
      <c r="IS86" s="11">
        <f>IS$85*$D$50/$D$47</f>
        <v>29.332870884417719</v>
      </c>
      <c r="IT86" s="14">
        <f t="shared" si="174"/>
        <v>879986.12653253158</v>
      </c>
      <c r="IU86" s="14">
        <f t="shared" si="177"/>
        <v>728238.84682372201</v>
      </c>
      <c r="IV86" s="14">
        <f t="shared" si="178"/>
        <v>3158478.1486422829</v>
      </c>
      <c r="IW86" s="14">
        <f t="shared" si="175"/>
        <v>94754.344459268483</v>
      </c>
      <c r="IX86" s="14">
        <f t="shared" si="176"/>
        <v>822993.1912829905</v>
      </c>
      <c r="IY86" s="14">
        <f>IT86*(VLOOKUP(90,$A$24:$K$72,11,FALSE)-1)</f>
        <v>3388687.06193094</v>
      </c>
      <c r="IZ86" s="11">
        <f>IZ$85*$D$49/$D$47</f>
        <v>38.242509901012191</v>
      </c>
      <c r="JA86" s="14">
        <f t="shared" si="179"/>
        <v>1147275.2970303658</v>
      </c>
      <c r="JB86" s="14">
        <f t="shared" si="182"/>
        <v>827069.9422891119</v>
      </c>
      <c r="JC86" s="14">
        <f t="shared" si="183"/>
        <v>3886696.913717079</v>
      </c>
      <c r="JD86" s="14">
        <f t="shared" si="180"/>
        <v>116600.90741151237</v>
      </c>
      <c r="JE86" s="14">
        <f t="shared" si="181"/>
        <v>943670.84970062424</v>
      </c>
      <c r="JF86" s="14">
        <f>JA86*(VLOOKUP(89,$A$24:$K$72,11,FALSE)-1)</f>
        <v>4757478.7716819048</v>
      </c>
      <c r="JG86" s="11">
        <f>JG$85*$D$48/$D$47</f>
        <v>45.306912736978376</v>
      </c>
      <c r="JH86" s="14">
        <f t="shared" si="184"/>
        <v>1359207.3821093512</v>
      </c>
      <c r="JI86" s="14">
        <f t="shared" si="187"/>
        <v>922047.48520985537</v>
      </c>
      <c r="JJ86" s="14">
        <f t="shared" si="188"/>
        <v>4713804.7678104499</v>
      </c>
      <c r="JK86" s="14">
        <f t="shared" si="185"/>
        <v>141414.14303431349</v>
      </c>
      <c r="JL86" s="14">
        <f t="shared" si="186"/>
        <v>1063461.6282441688</v>
      </c>
      <c r="JM86" s="14">
        <f>JH86*(VLOOKUP(88,$A$24:$K$72,11,FALSE)-1)</f>
        <v>6092213.4978276063</v>
      </c>
      <c r="JN86" s="11">
        <f>JN$85*$D$47/$D$47</f>
        <v>49.087108721924807</v>
      </c>
      <c r="JO86" s="14">
        <f t="shared" si="189"/>
        <v>1472613.2616577442</v>
      </c>
      <c r="JP86" s="14">
        <f t="shared" si="192"/>
        <v>1014699.4927373733</v>
      </c>
      <c r="JQ86" s="14">
        <f t="shared" si="193"/>
        <v>5635913.0329880668</v>
      </c>
      <c r="JR86" s="14">
        <f t="shared" si="190"/>
        <v>169077.39098964201</v>
      </c>
      <c r="JS86" s="14">
        <f t="shared" si="191"/>
        <v>1183776.8837270155</v>
      </c>
      <c r="JT86" s="14">
        <f>JO86*(VLOOKUP(87,$A$24:$K$72,11,FALSE)-1)</f>
        <v>7122383.9282375667</v>
      </c>
      <c r="JU86" s="11">
        <f>JU$85*$D$46/$D$47</f>
        <v>49.087378434552825</v>
      </c>
      <c r="JV86" s="14">
        <f t="shared" si="194"/>
        <v>1472621.3530365848</v>
      </c>
      <c r="JW86" s="14">
        <f t="shared" ref="JW86:JW96" si="197">JX85/$G48</f>
        <v>1109573.6118931402</v>
      </c>
      <c r="JX86" s="14">
        <f t="shared" ref="JX86:JX96" si="198">JX85-JW86</f>
        <v>6650649.0679914132</v>
      </c>
      <c r="JY86" s="14">
        <f t="shared" si="195"/>
        <v>199519.4720397424</v>
      </c>
      <c r="JZ86" s="14">
        <f t="shared" si="196"/>
        <v>1309093.0839328826</v>
      </c>
      <c r="KA86" s="14">
        <f>JV86*(VLOOKUP(86,$A$24:$K$72,11,FALSE)-1)</f>
        <v>7631231.1826966945</v>
      </c>
      <c r="KB86" s="11">
        <f>($N85-$N86)+(JU85-JU86)+(JN85-JN86)+(JG85-JG86)+(IZ85-IZ86)+(IS85-IS86)+(IL85-IL86)+(IE85-IE86)+(HX85-HX86)+(HQ85-HQ86)+(HJ85-HJ86)+(HC85-HC86)+(GV85-GV86)+(GO85-GO86)+(GH85-GH86)+(GA85-GA86)+(FT85-FT86)+(FM85-FM86)+(FF85-FF86)+(EY85-EY86)+(ER85-ER86)+(EK85-EK86)+(ED85-ED86)+(DW85-DW86)+(DP85-DP86)+(DI85-DI86)+(DB85-DB86)+(CU85-CU86)+(CN85-CN86)+(CG85-CG86)+(BZ85-BZ86)+(BS85-BS86)+(BL85-BL86)+(BE85-BE86)+(AX85-AX86)+(AQ85-AQ86)+(AJ85-AJ86)+(AC85-AC86)+(V85-V86)</f>
        <v>45.680678990563216</v>
      </c>
      <c r="KC86" s="14">
        <f t="shared" ref="KC86:KC96" si="199">KB86*$B$21</f>
        <v>1370420.3697168964</v>
      </c>
      <c r="KD86" s="14">
        <f>KC$46/$G47</f>
        <v>1202137.3266587972</v>
      </c>
      <c r="KE86" s="14">
        <f>KC$46-KD86</f>
        <v>7760216.6694360664</v>
      </c>
      <c r="KF86" s="14">
        <f t="shared" ref="KF86:KF96" si="200">$B$20*KE86</f>
        <v>232806.50008308198</v>
      </c>
      <c r="KG86" s="14">
        <f t="shared" ref="KG86:KG96" si="201">KD86+KF86</f>
        <v>1434943.8267418791</v>
      </c>
      <c r="KH86" s="14">
        <f>KC86*(VLOOKUP(85,$A$24:$K$72,11,FALSE)-1)</f>
        <v>7591933.62637797</v>
      </c>
      <c r="NC86" s="15">
        <v>40</v>
      </c>
      <c r="ND86" s="15">
        <f>N86+V86+AC86+AJ86+AQ86+AX86+BE86+BL86+BS86+BZ86+CG86+CN86+CU86+DB86+DI86+DP86+DW86+ED86+EK86+ER86+EY86+FF86+FM86+FT86+GA86+GH86+GO86+GV86+HC86+HJ86+HQ86+HX86+IE86+IL86+IS86+IZ86+JG86+JN86+JU86+KB86</f>
        <v>299.99999999999994</v>
      </c>
      <c r="NE86" s="14">
        <f>P86+W86+AD86+AK86+AR86+AY86+BF86+BM86+BT86+CA86+CH86+CO86+CV86+DC86+DJ86+DQ86+DX86+EE86+EL86+ES86+EZ86+FG86+FN86+FU86+GB86+GI86+GP86+GW86+HD86+HK86+HR86+HY86+IF86+IM86+IT86+JA86+JH86+JO86+JV86+KC86</f>
        <v>8999999.9999999981</v>
      </c>
      <c r="NF86" s="14">
        <f>T86+AA86+AH86+AO86+AV86+BC86+BJ86+BQ86+BX86+CE86+CL86+CS86+CZ86+DG86+DN86+DU86+EB86+EI86+EP86+EW86+FD86+FK86+FR86+FY86+GF86+GM86+GT86+HA86+HH86+HO86+HV86+IC86+IJ86+IQ86+IX86+JE86+JL86+JS86+JZ86+KG86</f>
        <v>10214727.547268385</v>
      </c>
      <c r="NH86" s="14">
        <f>U86+AB86+AI86+AP86+AW86+BD86+BK86+BR86+BY86+CF86+CM86+CT86+DA86+DH86+DO86+DV86+EC86+EJ86+EQ86+EX86+FE86+FL86+FS86+FZ86+GG86+GN86+GU86+HB86+HI86+HP86+HW86+ID86+IK86+IR86+IY86+JF86+JM86+JT86+KA86+KH86</f>
        <v>40900668.538157903</v>
      </c>
      <c r="NI86" s="14">
        <f>R86+Y86+AF86+AM86+AT86+BA86+BH86+BO86+BV86+CC86+CJ86+CQ86+CX86+DE86+DL86+DS86+DZ86+EG86+EN86+EU86+FB86+FI86+FP86+FW86+GD86+GK86+GR86+GY86+HF86+HM86+HT86+IA86+IH86+IO86+IV86+JC86+JJ86+JQ86+JX86+KE86</f>
        <v>41760903.923102811</v>
      </c>
    </row>
    <row r="87" spans="1:373" x14ac:dyDescent="0.25">
      <c r="A87" s="1"/>
      <c r="B87" s="3"/>
      <c r="DW87" s="11">
        <f>DW$86*$D$69/$D$47</f>
        <v>1.8411746932645549E-20</v>
      </c>
      <c r="DX87" s="14">
        <f t="shared" si="84"/>
        <v>5.5235240797936647E-16</v>
      </c>
      <c r="DY87" s="14">
        <f t="shared" si="87"/>
        <v>752.75109100288489</v>
      </c>
      <c r="DZ87" s="14">
        <f t="shared" si="88"/>
        <v>376.37554550144239</v>
      </c>
      <c r="EA87" s="14">
        <f t="shared" si="85"/>
        <v>11.291266365043271</v>
      </c>
      <c r="EB87" s="14">
        <f t="shared" si="86"/>
        <v>764.04235736792816</v>
      </c>
      <c r="EC87" s="14">
        <f>DX87*(VLOOKUP(109,$A$24:$K$72,11,FALSE)-1)</f>
        <v>2.6813223688318761E-16</v>
      </c>
      <c r="ED87" s="11">
        <f>ED$86*$D$68/$D$47</f>
        <v>8.0672570678389668E-18</v>
      </c>
      <c r="EE87" s="14">
        <f t="shared" si="89"/>
        <v>2.4201771203516898E-13</v>
      </c>
      <c r="EF87" s="14">
        <f t="shared" si="92"/>
        <v>1478.7879517146807</v>
      </c>
      <c r="EG87" s="14">
        <f t="shared" si="93"/>
        <v>1133.0473286037882</v>
      </c>
      <c r="EH87" s="14">
        <f t="shared" si="90"/>
        <v>33.991419858113645</v>
      </c>
      <c r="EI87" s="14">
        <f t="shared" si="91"/>
        <v>1512.7793715727944</v>
      </c>
      <c r="EJ87" s="14">
        <f>EE87*(VLOOKUP(108,$A$24:$K$72,11,FALSE)-1)</f>
        <v>1.7828508849144443E-13</v>
      </c>
      <c r="EK87" s="11">
        <f>EK$86*$D$67/$D$47</f>
        <v>1.9921268151587118E-15</v>
      </c>
      <c r="EL87" s="14">
        <f t="shared" si="94"/>
        <v>5.9763804454761355E-11</v>
      </c>
      <c r="EM87" s="14">
        <f t="shared" si="97"/>
        <v>2750.7106345114976</v>
      </c>
      <c r="EN87" s="14">
        <f t="shared" si="98"/>
        <v>2616.1973085600607</v>
      </c>
      <c r="EO87" s="14">
        <f t="shared" si="95"/>
        <v>78.485919256801822</v>
      </c>
      <c r="EP87" s="14">
        <f t="shared" si="96"/>
        <v>2829.1965537682995</v>
      </c>
      <c r="EQ87" s="14">
        <f>EL87*(VLOOKUP(107,$A$24:$K$72,11,FALSE)-1)</f>
        <v>5.4262756511225448E-11</v>
      </c>
      <c r="ER87" s="11">
        <f>ER$86*$D$66/$D$47</f>
        <v>2.8952741479971114E-13</v>
      </c>
      <c r="ES87" s="14">
        <f t="shared" si="99"/>
        <v>8.6858224439913349E-9</v>
      </c>
      <c r="ET87" s="14">
        <f t="shared" si="102"/>
        <v>4874.697055607714</v>
      </c>
      <c r="EU87" s="14">
        <f t="shared" si="103"/>
        <v>5369.9191187356373</v>
      </c>
      <c r="EV87" s="14">
        <f t="shared" si="100"/>
        <v>161.0975735620691</v>
      </c>
      <c r="EW87" s="14">
        <f t="shared" si="101"/>
        <v>5035.7946291697826</v>
      </c>
      <c r="EX87" s="14">
        <f>ES87*(VLOOKUP(106,$A$24:$K$72,11,FALSE)-1)</f>
        <v>9.0841100422843769E-9</v>
      </c>
      <c r="EY87" s="11">
        <f>EY$86*$D$65/$D$47</f>
        <v>2.5761132767889793E-11</v>
      </c>
      <c r="EZ87" s="14">
        <f t="shared" si="104"/>
        <v>7.7283398303669385E-7</v>
      </c>
      <c r="FA87" s="14">
        <f t="shared" si="107"/>
        <v>8274.1797331568032</v>
      </c>
      <c r="FB87" s="14">
        <f t="shared" si="108"/>
        <v>10245.561140075957</v>
      </c>
      <c r="FC87" s="14">
        <f t="shared" si="105"/>
        <v>307.36683420227871</v>
      </c>
      <c r="FD87" s="14">
        <f t="shared" si="106"/>
        <v>8581.5465673590825</v>
      </c>
      <c r="FE87" s="14">
        <f>EZ87*(VLOOKUP(105,$A$24:$K$72,11,FALSE)-1)</f>
        <v>9.0445414748714229E-7</v>
      </c>
      <c r="FF87" s="11">
        <f>FF$86*$D$64/$D$47</f>
        <v>1.4540303711380584E-9</v>
      </c>
      <c r="FG87" s="14">
        <f t="shared" si="109"/>
        <v>4.3620911134141753E-5</v>
      </c>
      <c r="FH87" s="14">
        <f t="shared" si="112"/>
        <v>13509.180343363267</v>
      </c>
      <c r="FI87" s="14">
        <f t="shared" si="113"/>
        <v>18520.173365264876</v>
      </c>
      <c r="FJ87" s="14">
        <f t="shared" si="110"/>
        <v>555.60520095794629</v>
      </c>
      <c r="FK87" s="14">
        <f t="shared" si="111"/>
        <v>14064.785544321214</v>
      </c>
      <c r="FL87" s="14">
        <f>FG87*(VLOOKUP(104,$A$24:$K$72,11,FALSE)-1)</f>
        <v>5.6296975582932755E-5</v>
      </c>
      <c r="FM87" s="11">
        <f>FM$86*$D$63/$D$47</f>
        <v>5.3766087605491051E-8</v>
      </c>
      <c r="FN87" s="14">
        <f t="shared" si="114"/>
        <v>1.6129826281647316E-3</v>
      </c>
      <c r="FO87" s="14">
        <f t="shared" si="117"/>
        <v>21295.841360659633</v>
      </c>
      <c r="FP87" s="14">
        <f t="shared" si="118"/>
        <v>32031.490904669543</v>
      </c>
      <c r="FQ87" s="14">
        <f t="shared" si="115"/>
        <v>960.94472714008623</v>
      </c>
      <c r="FR87" s="14">
        <f t="shared" si="116"/>
        <v>22256.786087799719</v>
      </c>
      <c r="FS87" s="14">
        <f>FN87*(VLOOKUP(103,$A$24:$K$72,11,FALSE)-1)</f>
        <v>2.2756430813726464E-3</v>
      </c>
      <c r="FT87" s="11">
        <f>FT$86*$D$62/$D$47</f>
        <v>1.3412307617273629E-6</v>
      </c>
      <c r="FU87" s="14">
        <f t="shared" si="119"/>
        <v>4.0236922851820886E-2</v>
      </c>
      <c r="FV87" s="14">
        <f t="shared" si="122"/>
        <v>32510.972250601106</v>
      </c>
      <c r="FW87" s="14">
        <f t="shared" si="123"/>
        <v>53332.58230394742</v>
      </c>
      <c r="FX87" s="14">
        <f t="shared" si="120"/>
        <v>1599.9774691184225</v>
      </c>
      <c r="FY87" s="14">
        <f t="shared" si="121"/>
        <v>34110.949719719531</v>
      </c>
      <c r="FZ87" s="14">
        <f>FU87*(VLOOKUP(102,$A$24:$K$72,11,FALSE)-1)</f>
        <v>6.1696650679541415E-2</v>
      </c>
      <c r="GA87" s="11">
        <f>GA$86*$D$61/$D$47</f>
        <v>2.3185699120648488E-5</v>
      </c>
      <c r="GB87" s="14">
        <f t="shared" si="124"/>
        <v>0.69557097361945464</v>
      </c>
      <c r="GC87" s="14">
        <f t="shared" si="127"/>
        <v>48196.417711622453</v>
      </c>
      <c r="GD87" s="14">
        <f t="shared" si="128"/>
        <v>85849.709803960781</v>
      </c>
      <c r="GE87" s="14">
        <f t="shared" si="125"/>
        <v>2575.4912941188231</v>
      </c>
      <c r="GF87" s="14">
        <f t="shared" si="126"/>
        <v>50771.909005741276</v>
      </c>
      <c r="GG87" s="14">
        <f>GB87*(VLOOKUP(101,$A$24:$K$72,11,FALSE)-1)</f>
        <v>1.154098966272878</v>
      </c>
      <c r="GH87" s="11">
        <f>GH$86*$D$60/$D$47</f>
        <v>2.846972004035446E-4</v>
      </c>
      <c r="GI87" s="14">
        <f t="shared" si="129"/>
        <v>8.5409160121063383</v>
      </c>
      <c r="GJ87" s="14">
        <f t="shared" si="132"/>
        <v>69543.416394846834</v>
      </c>
      <c r="GK87" s="14">
        <f t="shared" si="133"/>
        <v>134038.25617026459</v>
      </c>
      <c r="GL87" s="14">
        <f t="shared" si="130"/>
        <v>4021.1476851079374</v>
      </c>
      <c r="GM87" s="14">
        <f t="shared" si="131"/>
        <v>73564.564079954769</v>
      </c>
      <c r="GN87" s="14">
        <f>GI87*(VLOOKUP(100,$A$24:$K$72,11,FALSE)-1)</f>
        <v>15.28105184837904</v>
      </c>
      <c r="GO87" s="11">
        <f>GO$86*$D$59/$D$47</f>
        <v>2.5435236036514511E-3</v>
      </c>
      <c r="GP87" s="14">
        <f t="shared" si="134"/>
        <v>76.305708109543531</v>
      </c>
      <c r="GQ87" s="14">
        <f t="shared" si="137"/>
        <v>97994.617613877374</v>
      </c>
      <c r="GR87" s="14">
        <f t="shared" si="138"/>
        <v>203792.32843129282</v>
      </c>
      <c r="GS87" s="14">
        <f t="shared" si="135"/>
        <v>6113.7698529387844</v>
      </c>
      <c r="GT87" s="14">
        <f t="shared" si="136"/>
        <v>104108.38746681616</v>
      </c>
      <c r="GU87" s="14">
        <f>GP87*(VLOOKUP(99,$A$24:$K$72,11,FALSE)-1)</f>
        <v>146.78982007368842</v>
      </c>
      <c r="GV87" s="11">
        <f>GV$86*$D$58/$D$47</f>
        <v>1.6882625248343382E-2</v>
      </c>
      <c r="GW87" s="14">
        <f t="shared" si="139"/>
        <v>506.47875745030149</v>
      </c>
      <c r="GX87" s="14">
        <f t="shared" si="142"/>
        <v>134613.96468930156</v>
      </c>
      <c r="GY87" s="14">
        <f t="shared" si="143"/>
        <v>301302.86527546309</v>
      </c>
      <c r="GZ87" s="14">
        <f t="shared" si="140"/>
        <v>9039.0859582638932</v>
      </c>
      <c r="HA87" s="14">
        <f t="shared" si="141"/>
        <v>143653.05064756545</v>
      </c>
      <c r="HB87" s="14">
        <f>GW87*(VLOOKUP(98,$A$24:$K$72,11,FALSE)-1)</f>
        <v>1044.8952797103966</v>
      </c>
      <c r="HC87" s="11">
        <f>HC$86*$D$57/$D$47</f>
        <v>8.5794392005469067E-2</v>
      </c>
      <c r="HD87" s="14">
        <f t="shared" si="144"/>
        <v>2573.831760164072</v>
      </c>
      <c r="HE87" s="14">
        <f t="shared" si="147"/>
        <v>180783.78105498105</v>
      </c>
      <c r="HF87" s="14">
        <f t="shared" si="148"/>
        <v>436084.81157495151</v>
      </c>
      <c r="HG87" s="14">
        <f t="shared" si="145"/>
        <v>13082.544347248544</v>
      </c>
      <c r="HH87" s="14">
        <f t="shared" si="146"/>
        <v>193866.32540222959</v>
      </c>
      <c r="HI87" s="14">
        <f>HD87*(VLOOKUP(97,$A$24:$K$72,11,FALSE)-1)</f>
        <v>5701.5926930298037</v>
      </c>
      <c r="HJ87" s="11">
        <f>HJ$86*$D$56/$D$47</f>
        <v>0.34174808106046622</v>
      </c>
      <c r="HK87" s="14">
        <f t="shared" si="149"/>
        <v>10252.442431813986</v>
      </c>
      <c r="HL87" s="14">
        <f t="shared" si="152"/>
        <v>236640.34529656608</v>
      </c>
      <c r="HM87" s="14">
        <f t="shared" si="153"/>
        <v>616981.5592713221</v>
      </c>
      <c r="HN87" s="14">
        <f t="shared" si="150"/>
        <v>18509.446778139663</v>
      </c>
      <c r="HO87" s="14">
        <f t="shared" si="151"/>
        <v>255149.79207470574</v>
      </c>
      <c r="HP87" s="14">
        <f>HK87*(VLOOKUP(96,$A$24:$K$72,11,FALSE)-1)</f>
        <v>24454.029797855335</v>
      </c>
      <c r="HQ87" s="11">
        <f>HQ$86*$D$55/$D$47</f>
        <v>1.0944997584271361</v>
      </c>
      <c r="HR87" s="14">
        <f t="shared" si="154"/>
        <v>32834.992752814083</v>
      </c>
      <c r="HS87" s="14">
        <f t="shared" si="157"/>
        <v>301859.3217623129</v>
      </c>
      <c r="HT87" s="14">
        <f t="shared" si="158"/>
        <v>853684.53719846578</v>
      </c>
      <c r="HU87" s="14">
        <f t="shared" si="155"/>
        <v>25610.536115953972</v>
      </c>
      <c r="HV87" s="14">
        <f t="shared" si="156"/>
        <v>327469.85787826689</v>
      </c>
      <c r="HW87" s="14">
        <f>HR87*(VLOOKUP(95,$A$24:$K$72,11,FALSE)-1)</f>
        <v>84605.558179229192</v>
      </c>
      <c r="HX87" s="11">
        <f>HX$86*$D$54/$D$47</f>
        <v>2.8885287148305676</v>
      </c>
      <c r="HY87" s="14">
        <f t="shared" si="159"/>
        <v>86655.861444917027</v>
      </c>
      <c r="HZ87" s="14">
        <f t="shared" si="162"/>
        <v>375403.15103773196</v>
      </c>
      <c r="IA87" s="14">
        <f t="shared" si="163"/>
        <v>1155552.8625730092</v>
      </c>
      <c r="IB87" s="14">
        <f t="shared" si="160"/>
        <v>34666.585877190279</v>
      </c>
      <c r="IC87" s="14">
        <f t="shared" si="161"/>
        <v>410069.73691492225</v>
      </c>
      <c r="ID87" s="14">
        <f>HY87*(VLOOKUP(94,$A$24:$K$72,11,FALSE)-1)</f>
        <v>241964.65805001839</v>
      </c>
      <c r="IE87" s="11">
        <f>IE$86*$D$53/$D$47</f>
        <v>6.4238968442365323</v>
      </c>
      <c r="IF87" s="14">
        <f t="shared" si="164"/>
        <v>192716.90532709597</v>
      </c>
      <c r="IG87" s="14">
        <f t="shared" si="167"/>
        <v>455521.8771151941</v>
      </c>
      <c r="IH87" s="14">
        <f t="shared" si="168"/>
        <v>1530925.133308141</v>
      </c>
      <c r="II87" s="14">
        <f t="shared" si="165"/>
        <v>45927.753999244233</v>
      </c>
      <c r="IJ87" s="14">
        <f t="shared" si="166"/>
        <v>501449.63111443835</v>
      </c>
      <c r="IK87" s="14">
        <f>IF87*(VLOOKUP(93,$A$24:$K$72,11,FALSE)-1)</f>
        <v>584735.1974218738</v>
      </c>
      <c r="IL87" s="11">
        <f>IL$86*$D$52/$D$47</f>
        <v>12.226152442503794</v>
      </c>
      <c r="IM87" s="14">
        <f t="shared" si="169"/>
        <v>366784.57327511383</v>
      </c>
      <c r="IN87" s="14">
        <f t="shared" si="172"/>
        <v>540535.94871036522</v>
      </c>
      <c r="IO87" s="14">
        <f t="shared" si="173"/>
        <v>1986393.663966048</v>
      </c>
      <c r="IP87" s="14">
        <f t="shared" si="170"/>
        <v>59591.809918981438</v>
      </c>
      <c r="IQ87" s="14">
        <f t="shared" si="171"/>
        <v>600127.75862934662</v>
      </c>
      <c r="IR87" s="14">
        <f>IM87*(VLOOKUP(92,$A$24:$K$72,11,FALSE)-1)</f>
        <v>1210599.972967597</v>
      </c>
      <c r="IS87" s="11">
        <f>IS$86*$D$51/$D$47</f>
        <v>20.1814772426136</v>
      </c>
      <c r="IT87" s="14">
        <f t="shared" si="174"/>
        <v>605444.31727840798</v>
      </c>
      <c r="IU87" s="14">
        <f t="shared" si="177"/>
        <v>631601.55185021402</v>
      </c>
      <c r="IV87" s="14">
        <f t="shared" si="178"/>
        <v>2526876.5967920688</v>
      </c>
      <c r="IW87" s="14">
        <f t="shared" si="175"/>
        <v>75806.297903762068</v>
      </c>
      <c r="IX87" s="14">
        <f t="shared" si="176"/>
        <v>707407.8497539761</v>
      </c>
      <c r="IY87" s="14">
        <f>IT87*(VLOOKUP(91,$A$24:$K$72,11,FALSE)-1)</f>
        <v>2163394.818234778</v>
      </c>
      <c r="IZ87" s="11">
        <f>IZ$86*$D$50/$D$47</f>
        <v>29.33271932840039</v>
      </c>
      <c r="JA87" s="14">
        <f t="shared" si="179"/>
        <v>879981.57985201175</v>
      </c>
      <c r="JB87" s="14">
        <f t="shared" si="182"/>
        <v>728235.08418556314</v>
      </c>
      <c r="JC87" s="14">
        <f t="shared" si="183"/>
        <v>3158461.8295315159</v>
      </c>
      <c r="JD87" s="14">
        <f t="shared" si="180"/>
        <v>94753.854885945475</v>
      </c>
      <c r="JE87" s="14">
        <f t="shared" si="181"/>
        <v>822988.93907150859</v>
      </c>
      <c r="JF87" s="14">
        <f>JA87*(VLOOKUP(90,$A$24:$K$72,11,FALSE)-1)</f>
        <v>3388669.5533850803</v>
      </c>
      <c r="JG87" s="11">
        <f>JG$86*$D$49/$D$47</f>
        <v>38.242817477223284</v>
      </c>
      <c r="JH87" s="14">
        <f t="shared" si="184"/>
        <v>1147284.5243166985</v>
      </c>
      <c r="JI87" s="14">
        <f t="shared" si="187"/>
        <v>827076.59423324023</v>
      </c>
      <c r="JJ87" s="14">
        <f t="shared" si="188"/>
        <v>3886728.1735772099</v>
      </c>
      <c r="JK87" s="14">
        <f t="shared" si="185"/>
        <v>116601.84520731629</v>
      </c>
      <c r="JL87" s="14">
        <f t="shared" si="186"/>
        <v>943678.43944055657</v>
      </c>
      <c r="JM87" s="14">
        <f>JH87*(VLOOKUP(89,$A$24:$K$72,11,FALSE)-1)</f>
        <v>4757517.035051614</v>
      </c>
      <c r="JN87" s="11">
        <f>JN$86*$D$48/$D$47</f>
        <v>45.30740135033659</v>
      </c>
      <c r="JO87" s="14">
        <f t="shared" si="189"/>
        <v>1359222.0405100978</v>
      </c>
      <c r="JP87" s="14">
        <f t="shared" si="192"/>
        <v>922057.42905045114</v>
      </c>
      <c r="JQ87" s="14">
        <f t="shared" si="193"/>
        <v>4713855.6039376156</v>
      </c>
      <c r="JR87" s="14">
        <f t="shared" si="190"/>
        <v>141415.66811812847</v>
      </c>
      <c r="JS87" s="14">
        <f t="shared" si="191"/>
        <v>1063473.0971685797</v>
      </c>
      <c r="JT87" s="14">
        <f>JO87*(VLOOKUP(88,$A$24:$K$72,11,FALSE)-1)</f>
        <v>6092279.1994328657</v>
      </c>
      <c r="JU87" s="11">
        <f>JU$86*$D$47/$D$47</f>
        <v>49.087378434552825</v>
      </c>
      <c r="JV87" s="14">
        <f t="shared" si="194"/>
        <v>1472621.3530365848</v>
      </c>
      <c r="JW87" s="14">
        <f t="shared" si="197"/>
        <v>1014705.0680762768</v>
      </c>
      <c r="JX87" s="14">
        <f t="shared" si="198"/>
        <v>5635943.999915136</v>
      </c>
      <c r="JY87" s="14">
        <f t="shared" si="195"/>
        <v>169078.31999745406</v>
      </c>
      <c r="JZ87" s="14">
        <f t="shared" si="196"/>
        <v>1183783.3880737307</v>
      </c>
      <c r="KA87" s="14">
        <f>JV87*(VLOOKUP(87,$A$24:$K$72,11,FALSE)-1)</f>
        <v>7122423.062685227</v>
      </c>
      <c r="KB87" s="11">
        <f>KB$86*$D$46/$D$47</f>
        <v>49.087340415391374</v>
      </c>
      <c r="KC87" s="14">
        <f t="shared" si="199"/>
        <v>1472620.2124617412</v>
      </c>
      <c r="KD87" s="14">
        <f t="shared" ref="KD87:KD96" si="202">KE86/$G48</f>
        <v>1109572.7525060696</v>
      </c>
      <c r="KE87" s="14">
        <f t="shared" ref="KE87:KE96" si="203">KE86-KD87</f>
        <v>6650643.9169299966</v>
      </c>
      <c r="KF87" s="14">
        <f t="shared" si="200"/>
        <v>199519.31750789989</v>
      </c>
      <c r="KG87" s="14">
        <f t="shared" si="201"/>
        <v>1309092.0700139694</v>
      </c>
      <c r="KH87" s="14">
        <f>KC87*(VLOOKUP(86,$A$24:$K$72,11,FALSE)-1)</f>
        <v>7631225.2721547252</v>
      </c>
      <c r="KI87" s="11">
        <f>($N86-$N87)+(KB86-KB87)+(JU86-JU87)+(JN86-JN87)+(JG86-JG87)+(IZ86-IZ87)+(IS86-IS87)+(IL86-IL87)+(IE86-IE87)+(HX86-HX87)+(HQ86-HQ87)+(HJ86-HJ87)+(HC86-HC87)+(GV86-GV87)+(GO86-GO87)+(GH86-GH87)+(GA86-GA87)+(FT86-FT87)+(FM86-FM87)+(FF86-FF87)+(EY86-EY87)+(ER86-ER87)+(EK86-EK87)+(ED86-ED87)+(DW86-DW87)+(DP86-DP87)+(DI86-DI87)+(DB86-DB87)+(CU86-CU87)+(CN86-CN87)+(CG86-CG87)+(BZ86-BZ87)+(BS86-BS87)+(BL86-BL87)+(BE86-BE87)+(AX86-AX87)+(AQ86-AQ87)+(AJ86-AJ87)+(AC86-AC87)+(V86-V87)</f>
        <v>45.680510090189443</v>
      </c>
      <c r="KJ87" s="14">
        <f t="shared" ref="KJ87:KJ96" si="204">KI87*$B$21</f>
        <v>1370415.3027056833</v>
      </c>
      <c r="KK87" s="14">
        <f>KJ$46/$G47</f>
        <v>1202132.8818596324</v>
      </c>
      <c r="KL87" s="14">
        <f>KJ$46-KK87</f>
        <v>7760187.976703709</v>
      </c>
      <c r="KM87" s="14">
        <f t="shared" ref="KM87:KM96" si="205">$B$20*KL87</f>
        <v>232805.63930111125</v>
      </c>
      <c r="KN87" s="14">
        <f t="shared" ref="KN87:KN96" si="206">KK87+KM87</f>
        <v>1434938.5211607437</v>
      </c>
      <c r="KO87" s="14">
        <f>KJ87*(VLOOKUP(85,$A$24:$K$72,11,FALSE)-1)</f>
        <v>7591905.5558576649</v>
      </c>
      <c r="NC87" s="15">
        <v>41</v>
      </c>
      <c r="ND87" s="15">
        <f>N87+V87+AC87+AJ87+AQ87+AX87+BE87+BL87+BS87+BZ87+CG87+CN87+CU87+DB87+DI87+DP87+DW87+ED87+EK87+ER87+EY87+FF87+FM87+FT87+GA87+GH87+GO87+GV87+HC87+HJ87+HQ87+HX87+IE87+IL87+IS87+IZ87+JG87+JN87+JU87+KB87+KI87</f>
        <v>299.99999999999989</v>
      </c>
      <c r="NE87" s="14">
        <f>P87+W87+AD87+AK87+AR87+AY87+BF87+BM87+BT87+CA87+CH87+CO87+CV87+DC87+DJ87+DQ87+DX87+EE87+EL87+ES87+EZ87+FG87+FN87+FU87+GB87+GI87+GP87+GW87+HD87+HK87+HR87+HY87+IF87+IM87+IT87+JA87+JH87+JO87+JV87+KC87+KJ87</f>
        <v>8999999.9999999981</v>
      </c>
      <c r="NF87" s="14">
        <f>T87+AA87+AH87+AO87+AV87+BC87+BJ87+BQ87+BX87+CE87+CL87+CS87+CZ87+DG87+DN87+DU87+EB87+EI87+EP87+EW87+FD87+FK87+FR87+FY87+GF87+GM87+GT87+HA87+HH87+HO87+HV87+IC87+IJ87+IQ87+IX87+JE87+JL87+JS87+JZ87+KG87+KN87</f>
        <v>10214749.198728131</v>
      </c>
      <c r="NH87" s="14">
        <f>U87+AB87+AI87+AP87+AW87+BD87+BK87+BR87+BY87+CF87+CM87+CT87+DA87+DH87+DO87+DV87+EC87+EJ87+EQ87+EX87+FE87+FL87+FS87+FZ87+GG87+GN87+GU87+HB87+HI87+HP87+HW87+ID87+IK87+IR87+IY87+JF87+JM87+JT87+KA87+KH87+KO87</f>
        <v>40900683.690191664</v>
      </c>
      <c r="NI87" s="14">
        <f>R87+Y87+AF87+AM87+AT87+BA87+BH87+BO87+BV87+CC87+CJ87+CQ87+CX87+DE87+DL87+DS87+DZ87+EG87+EN87+EU87+FB87+FI87+FP87+FW87+GD87+GK87+GR87+GY87+HF87+HM87+HT87+IA87+IH87+IO87+IV87+JC87+JJ87+JQ87+JX87+KE87+KL87</f>
        <v>41760929.171975531</v>
      </c>
    </row>
    <row r="88" spans="1:373" x14ac:dyDescent="0.25">
      <c r="A88" s="1"/>
      <c r="B88" s="3"/>
      <c r="ED88" s="11">
        <f>ED$87*$D$69/$D$47</f>
        <v>1.8475678460254872E-20</v>
      </c>
      <c r="EE88" s="14">
        <f t="shared" si="89"/>
        <v>5.5427035380764618E-16</v>
      </c>
      <c r="EF88" s="14">
        <f t="shared" si="92"/>
        <v>755.36488573585882</v>
      </c>
      <c r="EG88" s="14">
        <f t="shared" si="93"/>
        <v>377.68244286792935</v>
      </c>
      <c r="EH88" s="14">
        <f t="shared" si="90"/>
        <v>11.330473286037881</v>
      </c>
      <c r="EI88" s="14">
        <f t="shared" si="91"/>
        <v>766.69535902189671</v>
      </c>
      <c r="EJ88" s="14">
        <f>EE88*(VLOOKUP(109,$A$24:$K$72,11,FALSE)-1)</f>
        <v>2.6906327854740107E-16</v>
      </c>
      <c r="EK88" s="11">
        <f>EK$87*$D$68/$D$47</f>
        <v>8.0807302004776358E-18</v>
      </c>
      <c r="EL88" s="14">
        <f t="shared" si="94"/>
        <v>2.4242190601432909E-13</v>
      </c>
      <c r="EM88" s="14">
        <f t="shared" si="97"/>
        <v>1481.2576766844415</v>
      </c>
      <c r="EN88" s="14">
        <f t="shared" si="98"/>
        <v>1134.9396318756192</v>
      </c>
      <c r="EO88" s="14">
        <f t="shared" si="95"/>
        <v>34.048188956268575</v>
      </c>
      <c r="EP88" s="14">
        <f t="shared" si="96"/>
        <v>1515.3058656407102</v>
      </c>
      <c r="EQ88" s="14">
        <f>EL88*(VLOOKUP(108,$A$24:$K$72,11,FALSE)-1)</f>
        <v>1.7858284256380668E-13</v>
      </c>
      <c r="ER88" s="11">
        <f>ER$87*$D$67/$D$47</f>
        <v>1.9932445246199497E-15</v>
      </c>
      <c r="ES88" s="14">
        <f t="shared" si="99"/>
        <v>5.9797335738598496E-11</v>
      </c>
      <c r="ET88" s="14">
        <f t="shared" si="102"/>
        <v>2752.2539575961159</v>
      </c>
      <c r="EU88" s="14">
        <f t="shared" si="103"/>
        <v>2617.6651611395214</v>
      </c>
      <c r="EV88" s="14">
        <f t="shared" si="100"/>
        <v>78.529954834185645</v>
      </c>
      <c r="EW88" s="14">
        <f t="shared" si="101"/>
        <v>2830.7839124303014</v>
      </c>
      <c r="EX88" s="14">
        <f>ES88*(VLOOKUP(107,$A$24:$K$72,11,FALSE)-1)</f>
        <v>5.429320135835262E-11</v>
      </c>
      <c r="EY88" s="11">
        <f>EY$87*$D$66/$D$47</f>
        <v>2.8955412087448988E-13</v>
      </c>
      <c r="EZ88" s="14">
        <f t="shared" si="104"/>
        <v>8.686623626234696E-9</v>
      </c>
      <c r="FA88" s="14">
        <f t="shared" si="107"/>
        <v>4875.1466987759886</v>
      </c>
      <c r="FB88" s="14">
        <f t="shared" si="108"/>
        <v>5370.4144412999685</v>
      </c>
      <c r="FC88" s="14">
        <f t="shared" si="105"/>
        <v>161.11243323899905</v>
      </c>
      <c r="FD88" s="14">
        <f t="shared" si="106"/>
        <v>5036.2591320149877</v>
      </c>
      <c r="FE88" s="14">
        <f>EZ88*(VLOOKUP(106,$A$24:$K$72,11,FALSE)-1)</f>
        <v>9.0849479626666489E-9</v>
      </c>
      <c r="FF88" s="11">
        <f>FF$87*$D$65/$D$47</f>
        <v>2.5761734368351523E-11</v>
      </c>
      <c r="FG88" s="14">
        <f t="shared" si="109"/>
        <v>7.7285203105054574E-7</v>
      </c>
      <c r="FH88" s="14">
        <f t="shared" si="112"/>
        <v>8274.3729603100019</v>
      </c>
      <c r="FI88" s="14">
        <f t="shared" si="113"/>
        <v>10245.800404954874</v>
      </c>
      <c r="FJ88" s="14">
        <f t="shared" si="110"/>
        <v>307.37401214864622</v>
      </c>
      <c r="FK88" s="14">
        <f t="shared" si="111"/>
        <v>8581.7469724586481</v>
      </c>
      <c r="FL88" s="14">
        <f>FG88*(VLOOKUP(105,$A$24:$K$72,11,FALSE)-1)</f>
        <v>9.0447526923041514E-7</v>
      </c>
      <c r="FM88" s="11">
        <f>FM$87*$D$64/$D$47</f>
        <v>1.4541273930131034E-9</v>
      </c>
      <c r="FN88" s="14">
        <f t="shared" si="114"/>
        <v>4.3623821790393099E-5</v>
      </c>
      <c r="FO88" s="14">
        <f t="shared" si="117"/>
        <v>13510.081759202469</v>
      </c>
      <c r="FP88" s="14">
        <f t="shared" si="118"/>
        <v>18521.409145467074</v>
      </c>
      <c r="FQ88" s="14">
        <f t="shared" si="115"/>
        <v>555.64227436401222</v>
      </c>
      <c r="FR88" s="14">
        <f t="shared" si="116"/>
        <v>14065.724033566481</v>
      </c>
      <c r="FS88" s="14">
        <f>FN88*(VLOOKUP(104,$A$24:$K$72,11,FALSE)-1)</f>
        <v>5.6300732064392036E-5</v>
      </c>
      <c r="FT88" s="11">
        <f>FT$87*$D$63/$D$47</f>
        <v>5.3771380839266113E-8</v>
      </c>
      <c r="FU88" s="14">
        <f t="shared" si="119"/>
        <v>1.6131414251779833E-3</v>
      </c>
      <c r="FV88" s="14">
        <f t="shared" si="122"/>
        <v>21297.937921368786</v>
      </c>
      <c r="FW88" s="14">
        <f t="shared" si="123"/>
        <v>32034.644382578634</v>
      </c>
      <c r="FX88" s="14">
        <f t="shared" si="120"/>
        <v>961.03933147735893</v>
      </c>
      <c r="FY88" s="14">
        <f t="shared" si="121"/>
        <v>22258.977252846144</v>
      </c>
      <c r="FZ88" s="14">
        <f>FU88*(VLOOKUP(103,$A$24:$K$72,11,FALSE)-1)</f>
        <v>2.275867116844721E-3</v>
      </c>
      <c r="GA88" s="11">
        <f>GA$87*$D$62/$D$47</f>
        <v>1.3413269321376039E-6</v>
      </c>
      <c r="GB88" s="14">
        <f t="shared" si="124"/>
        <v>4.023980796412812E-2</v>
      </c>
      <c r="GC88" s="14">
        <f t="shared" si="127"/>
        <v>32513.30338826049</v>
      </c>
      <c r="GD88" s="14">
        <f t="shared" si="128"/>
        <v>53336.406415700287</v>
      </c>
      <c r="GE88" s="14">
        <f t="shared" si="125"/>
        <v>1600.0921924710085</v>
      </c>
      <c r="GF88" s="14">
        <f t="shared" si="126"/>
        <v>34113.3955807315</v>
      </c>
      <c r="GG88" s="14">
        <f>GB88*(VLOOKUP(102,$A$24:$K$72,11,FALSE)-1)</f>
        <v>6.1701074520968006E-2</v>
      </c>
      <c r="GH88" s="11">
        <f>GH$87*$D$61/$D$47</f>
        <v>2.318433762929013E-5</v>
      </c>
      <c r="GI88" s="14">
        <f t="shared" si="129"/>
        <v>0.69553012887870391</v>
      </c>
      <c r="GJ88" s="14">
        <f t="shared" si="132"/>
        <v>48193.587561628854</v>
      </c>
      <c r="GK88" s="14">
        <f t="shared" si="133"/>
        <v>85844.668608635737</v>
      </c>
      <c r="GL88" s="14">
        <f t="shared" si="130"/>
        <v>2575.3400582590721</v>
      </c>
      <c r="GM88" s="14">
        <f t="shared" si="131"/>
        <v>50768.927619887923</v>
      </c>
      <c r="GN88" s="14">
        <f>GI88*(VLOOKUP(101,$A$24:$K$72,11,FALSE)-1)</f>
        <v>1.1540311962323417</v>
      </c>
      <c r="GO88" s="11">
        <f>GO$87*$D$60/$D$47</f>
        <v>2.8499179045477397E-4</v>
      </c>
      <c r="GP88" s="14">
        <f t="shared" si="134"/>
        <v>8.5497537136432182</v>
      </c>
      <c r="GQ88" s="14">
        <f t="shared" si="137"/>
        <v>69615.376352898485</v>
      </c>
      <c r="GR88" s="14">
        <f t="shared" si="138"/>
        <v>134176.95207839433</v>
      </c>
      <c r="GS88" s="14">
        <f t="shared" si="135"/>
        <v>4025.3085623518296</v>
      </c>
      <c r="GT88" s="14">
        <f t="shared" si="136"/>
        <v>73640.684915250313</v>
      </c>
      <c r="GU88" s="14">
        <f>GP88*(VLOOKUP(100,$A$24:$K$72,11,FALSE)-1)</f>
        <v>15.296863896549768</v>
      </c>
      <c r="GV88" s="11">
        <f>GV$87*$D$59/$D$47</f>
        <v>2.5394436695126187E-3</v>
      </c>
      <c r="GW88" s="14">
        <f t="shared" si="139"/>
        <v>76.183310085378565</v>
      </c>
      <c r="GX88" s="14">
        <f t="shared" si="142"/>
        <v>97837.429536184383</v>
      </c>
      <c r="GY88" s="14">
        <f t="shared" si="143"/>
        <v>203465.43573927871</v>
      </c>
      <c r="GZ88" s="14">
        <f t="shared" si="140"/>
        <v>6103.9630721783606</v>
      </c>
      <c r="HA88" s="14">
        <f t="shared" si="141"/>
        <v>103941.39260836274</v>
      </c>
      <c r="HB88" s="14">
        <f>GW88*(VLOOKUP(99,$A$24:$K$72,11,FALSE)-1)</f>
        <v>146.55436214544591</v>
      </c>
      <c r="HC88" s="11">
        <f>HC$87*$D$58/$D$47</f>
        <v>1.6889131009026306E-2</v>
      </c>
      <c r="HD88" s="14">
        <f t="shared" si="144"/>
        <v>506.67393027078919</v>
      </c>
      <c r="HE88" s="14">
        <f t="shared" si="147"/>
        <v>134665.83850785537</v>
      </c>
      <c r="HF88" s="14">
        <f t="shared" si="148"/>
        <v>301418.97306709614</v>
      </c>
      <c r="HG88" s="14">
        <f t="shared" si="145"/>
        <v>9042.5691920128847</v>
      </c>
      <c r="HH88" s="14">
        <f t="shared" si="146"/>
        <v>143708.40769986826</v>
      </c>
      <c r="HI88" s="14">
        <f>HD88*(VLOOKUP(98,$A$24:$K$72,11,FALSE)-1)</f>
        <v>1045.2979326466857</v>
      </c>
      <c r="HJ88" s="11">
        <f>HJ$87*$D$57/$D$47</f>
        <v>8.5810103462383353E-2</v>
      </c>
      <c r="HK88" s="14">
        <f t="shared" si="149"/>
        <v>2574.3031038715008</v>
      </c>
      <c r="HL88" s="14">
        <f t="shared" si="152"/>
        <v>180816.88784110613</v>
      </c>
      <c r="HM88" s="14">
        <f t="shared" si="153"/>
        <v>436164.67143021594</v>
      </c>
      <c r="HN88" s="14">
        <f t="shared" si="150"/>
        <v>13084.940142906478</v>
      </c>
      <c r="HO88" s="14">
        <f t="shared" si="151"/>
        <v>193901.82798401261</v>
      </c>
      <c r="HP88" s="14">
        <f>HK88*(VLOOKUP(97,$A$24:$K$72,11,FALSE)-1)</f>
        <v>5702.6368210415003</v>
      </c>
      <c r="HQ88" s="11">
        <f>HQ$87*$D$56/$D$47</f>
        <v>0.34177315607458753</v>
      </c>
      <c r="HR88" s="14">
        <f t="shared" si="154"/>
        <v>10253.194682237625</v>
      </c>
      <c r="HS88" s="14">
        <f t="shared" si="157"/>
        <v>236657.70826165332</v>
      </c>
      <c r="HT88" s="14">
        <f t="shared" si="158"/>
        <v>617026.82893681247</v>
      </c>
      <c r="HU88" s="14">
        <f t="shared" si="155"/>
        <v>18510.804868104373</v>
      </c>
      <c r="HV88" s="14">
        <f t="shared" si="156"/>
        <v>255168.51312975769</v>
      </c>
      <c r="HW88" s="14">
        <f>HR88*(VLOOKUP(96,$A$24:$K$72,11,FALSE)-1)</f>
        <v>24455.824058530045</v>
      </c>
      <c r="HX88" s="11">
        <f>HX$87*$D$55/$D$47</f>
        <v>1.0945082864041009</v>
      </c>
      <c r="HY88" s="14">
        <f t="shared" si="159"/>
        <v>32835.248592123025</v>
      </c>
      <c r="HZ88" s="14">
        <f t="shared" si="162"/>
        <v>301861.67374944023</v>
      </c>
      <c r="IA88" s="14">
        <f t="shared" si="163"/>
        <v>853691.18882356898</v>
      </c>
      <c r="IB88" s="14">
        <f t="shared" si="160"/>
        <v>25610.73566470707</v>
      </c>
      <c r="IC88" s="14">
        <f t="shared" si="161"/>
        <v>327472.40941414732</v>
      </c>
      <c r="ID88" s="14">
        <f>HY88*(VLOOKUP(95,$A$24:$K$72,11,FALSE)-1)</f>
        <v>84606.217397511966</v>
      </c>
      <c r="IE88" s="11">
        <f>IE$87*$D$54/$D$47</f>
        <v>2.8884704514709512</v>
      </c>
      <c r="IF88" s="14">
        <f t="shared" si="164"/>
        <v>86654.11354412853</v>
      </c>
      <c r="IG88" s="14">
        <f t="shared" si="167"/>
        <v>375395.57893063157</v>
      </c>
      <c r="IH88" s="14">
        <f t="shared" si="168"/>
        <v>1155529.5543775095</v>
      </c>
      <c r="II88" s="14">
        <f t="shared" si="165"/>
        <v>34665.886631325287</v>
      </c>
      <c r="IJ88" s="14">
        <f t="shared" si="166"/>
        <v>410061.46556195687</v>
      </c>
      <c r="IK88" s="14">
        <f>IF88*(VLOOKUP(94,$A$24:$K$72,11,FALSE)-1)</f>
        <v>241959.77747749229</v>
      </c>
      <c r="IL88" s="11">
        <f>IL$87*$D$53/$D$47</f>
        <v>6.4237243291194277</v>
      </c>
      <c r="IM88" s="14">
        <f t="shared" si="169"/>
        <v>192711.72987358284</v>
      </c>
      <c r="IN88" s="14">
        <f t="shared" si="172"/>
        <v>455509.64397822472</v>
      </c>
      <c r="IO88" s="14">
        <f t="shared" si="173"/>
        <v>1530884.0199878234</v>
      </c>
      <c r="IP88" s="14">
        <f t="shared" si="170"/>
        <v>45926.520599634699</v>
      </c>
      <c r="IQ88" s="14">
        <f t="shared" si="171"/>
        <v>501436.1645778594</v>
      </c>
      <c r="IR88" s="14">
        <f>IM88*(VLOOKUP(93,$A$24:$K$72,11,FALSE)-1)</f>
        <v>584719.4942336838</v>
      </c>
      <c r="IS88" s="11">
        <f>IS$87*$D$52/$D$47</f>
        <v>12.225895933465871</v>
      </c>
      <c r="IT88" s="14">
        <f t="shared" si="174"/>
        <v>366776.87800397613</v>
      </c>
      <c r="IU88" s="14">
        <f t="shared" si="177"/>
        <v>540524.60807341314</v>
      </c>
      <c r="IV88" s="14">
        <f t="shared" si="178"/>
        <v>1986351.9887186557</v>
      </c>
      <c r="IW88" s="14">
        <f t="shared" si="175"/>
        <v>59590.559661559666</v>
      </c>
      <c r="IX88" s="14">
        <f t="shared" si="176"/>
        <v>600115.16773497278</v>
      </c>
      <c r="IY88" s="14">
        <f>IT88*(VLOOKUP(92,$A$24:$K$72,11,FALSE)-1)</f>
        <v>1210574.5741484805</v>
      </c>
      <c r="IZ88" s="11">
        <f>IZ$87*$D$51/$D$47</f>
        <v>20.181372969686254</v>
      </c>
      <c r="JA88" s="14">
        <f t="shared" si="179"/>
        <v>605441.18909058766</v>
      </c>
      <c r="JB88" s="14">
        <f t="shared" si="182"/>
        <v>631598.28851413878</v>
      </c>
      <c r="JC88" s="14">
        <f t="shared" si="183"/>
        <v>2526863.5410173773</v>
      </c>
      <c r="JD88" s="14">
        <f t="shared" si="180"/>
        <v>75805.906230521316</v>
      </c>
      <c r="JE88" s="14">
        <f t="shared" si="181"/>
        <v>707404.19474466005</v>
      </c>
      <c r="JF88" s="14">
        <f>JA88*(VLOOKUP(91,$A$24:$K$72,11,FALSE)-1)</f>
        <v>2163383.6404846068</v>
      </c>
      <c r="JG88" s="11">
        <f>JG$87*$D$50/$D$47</f>
        <v>29.332955245098731</v>
      </c>
      <c r="JH88" s="14">
        <f t="shared" si="184"/>
        <v>879988.65735296195</v>
      </c>
      <c r="JI88" s="14">
        <f t="shared" si="187"/>
        <v>728240.94122236827</v>
      </c>
      <c r="JJ88" s="14">
        <f t="shared" si="188"/>
        <v>3158487.2323548417</v>
      </c>
      <c r="JK88" s="14">
        <f t="shared" si="185"/>
        <v>94754.616970645249</v>
      </c>
      <c r="JL88" s="14">
        <f t="shared" si="186"/>
        <v>822995.55819301354</v>
      </c>
      <c r="JM88" s="14">
        <f>JH88*(VLOOKUP(90,$A$24:$K$72,11,FALSE)-1)</f>
        <v>3388696.8077191859</v>
      </c>
      <c r="JN88" s="11">
        <f>JN$87*$D$49/$D$47</f>
        <v>38.243229907696829</v>
      </c>
      <c r="JO88" s="14">
        <f t="shared" si="189"/>
        <v>1147296.8972309048</v>
      </c>
      <c r="JP88" s="14">
        <f t="shared" si="192"/>
        <v>827085.51385825477</v>
      </c>
      <c r="JQ88" s="14">
        <f t="shared" si="193"/>
        <v>3886770.0900793606</v>
      </c>
      <c r="JR88" s="14">
        <f t="shared" si="190"/>
        <v>116603.10270238081</v>
      </c>
      <c r="JS88" s="14">
        <f t="shared" si="191"/>
        <v>943688.61656063562</v>
      </c>
      <c r="JT88" s="14">
        <f>JO88*(VLOOKUP(89,$A$24:$K$72,11,FALSE)-1)</f>
        <v>4757568.3425946524</v>
      </c>
      <c r="JU88" s="11">
        <f>JU$87*$D$48/$D$47</f>
        <v>45.307650295092252</v>
      </c>
      <c r="JV88" s="14">
        <f t="shared" si="194"/>
        <v>1359229.5088527675</v>
      </c>
      <c r="JW88" s="14">
        <f t="shared" si="197"/>
        <v>922062.49536091264</v>
      </c>
      <c r="JX88" s="14">
        <f t="shared" si="198"/>
        <v>4713881.5045542233</v>
      </c>
      <c r="JY88" s="14">
        <f t="shared" si="195"/>
        <v>141416.44513662669</v>
      </c>
      <c r="JZ88" s="14">
        <f t="shared" si="196"/>
        <v>1063478.9404975392</v>
      </c>
      <c r="KA88" s="14">
        <f>JV88*(VLOOKUP(88,$A$24:$K$72,11,FALSE)-1)</f>
        <v>6092312.6738964524</v>
      </c>
      <c r="KB88" s="11">
        <f>KB$87*$D$47/$D$47</f>
        <v>49.087340415391374</v>
      </c>
      <c r="KC88" s="14">
        <f t="shared" si="199"/>
        <v>1472620.2124617412</v>
      </c>
      <c r="KD88" s="14">
        <f t="shared" si="202"/>
        <v>1014704.2821668006</v>
      </c>
      <c r="KE88" s="14">
        <f t="shared" si="203"/>
        <v>5635939.6347631961</v>
      </c>
      <c r="KF88" s="14">
        <f t="shared" si="200"/>
        <v>169078.18904289589</v>
      </c>
      <c r="KG88" s="14">
        <f t="shared" si="201"/>
        <v>1183782.4712096965</v>
      </c>
      <c r="KH88" s="14">
        <f>KC88*(VLOOKUP(87,$A$24:$K$72,11,FALSE)-1)</f>
        <v>7122417.5462253746</v>
      </c>
      <c r="KI88" s="11">
        <f>KI$87*$D$46/$D$47</f>
        <v>49.087158919180574</v>
      </c>
      <c r="KJ88" s="14">
        <f t="shared" si="204"/>
        <v>1472614.7675754172</v>
      </c>
      <c r="KK88" s="14">
        <f t="shared" ref="KK88:KK96" si="207">KL87/$G48</f>
        <v>1109568.6499564403</v>
      </c>
      <c r="KL88" s="14">
        <f t="shared" ref="KL88:KL96" si="208">KL87-KK88</f>
        <v>6650619.3267472684</v>
      </c>
      <c r="KM88" s="14">
        <f t="shared" si="205"/>
        <v>199518.57980241804</v>
      </c>
      <c r="KN88" s="14">
        <f t="shared" si="206"/>
        <v>1309087.2297588584</v>
      </c>
      <c r="KO88" s="14">
        <f>KJ88*(VLOOKUP(86,$A$24:$K$72,11,FALSE)-1)</f>
        <v>7631197.056356946</v>
      </c>
      <c r="KP88" s="11">
        <f>($N87-$N88)+(KI87-KI88)+(KB87-KB88)+(JU87-JU88)+(JN87-JN88)+(JG87-JG88)+(IZ87-IZ88)+(IS87-IS88)+(IL87-IL88)+(IE87-IE88)+(HX87-HX88)+(HQ87-HQ88)+(HJ87-HJ88)+(HC87-HC88)+(GV87-GV88)+(GO87-GO88)+(GH87-GH88)+(GA87-GA88)+(FT87-FT88)+(FM87-FM88)+(FF87-FF88)+(EY87-EY88)+(ER87-ER88)+(EK87-EK88)+(ED87-ED88)+(DW87-DW88)+(DP87-DP88)+(DI87-DI88)+(DB87-DB88)+(CU87-CU88)+(CN87-CN88)+(CG87-CG88)+(BZ87-BZ88)+(BS87-BS88)+(BL87-BL88)+(BE87-BE88)+(AX87-AX88)+(AQ87-AQ88)+(AJ87-AJ88)+(AC87-AC88)+(V87-V88)</f>
        <v>45.680371840471459</v>
      </c>
      <c r="KQ88" s="14">
        <f t="shared" ref="KQ88:KQ96" si="209">KP88*$B$21</f>
        <v>1370411.1552141437</v>
      </c>
      <c r="KR88" s="14">
        <f>KQ$46/$G47</f>
        <v>1202129.2436662</v>
      </c>
      <c r="KS88" s="14">
        <f>KQ$46-KR88</f>
        <v>7760164.4908933155</v>
      </c>
      <c r="KT88" s="14">
        <f t="shared" ref="KT88:KT96" si="210">$B$20*KS88</f>
        <v>232804.93472679946</v>
      </c>
      <c r="KU88" s="14">
        <f t="shared" ref="KU88:KU96" si="211">KR88+KT88</f>
        <v>1434934.1783929993</v>
      </c>
      <c r="KV88" s="14">
        <f>KQ88*(VLOOKUP(85,$A$24:$K$72,11,FALSE)-1)</f>
        <v>7591882.5793453623</v>
      </c>
      <c r="NC88" s="15">
        <v>42</v>
      </c>
      <c r="ND88" s="15">
        <f>N88+V88+AC88+AJ88+AQ88+AX88+BE88+BL88+BS88+BZ88+CG88+CN88+CU88+DB88+DI88+DP88+DW88+ED88+EK88+ER88+EY88+FF88+FM88+FT88+GA88+GH88+GO88+GV88+HC88+HJ88+HQ88+HX88+IE88+IL88+IS88+IZ88+JG88+JN88+JU88+KB88+KI88+KP88</f>
        <v>299.99999999999994</v>
      </c>
      <c r="NE88" s="14">
        <f>P88+W88+AD88+AK88+AR88+AY88+BF88+BM88+BT88+CA88+CH88+CO88+CV88+DC88+DJ88+DQ88+DX88+EE88+EL88+ES88+EZ88+FG88+FN88+FU88+GB88+GI88+GP88+GW88+HD88+HK88+HR88+HY88+IF88+IM88+IT88+JA88+JH88+JO88+JV88+KC88+KJ88+KQ88</f>
        <v>8999999.9999999963</v>
      </c>
      <c r="NF88" s="14">
        <f>T88+AA88+AH88+AO88+AV88+BC88+BJ88+BQ88+BX88+CE88+CL88+CS88+CZ88+DG88+DN88+DU88+EB88+EI88+EP88+EW88+FD88+FK88+FR88+FY88+GF88+GM88+GT88+HA88+HH88+HO88+HV88+IC88+IJ88+IQ88+IX88+JE88+JL88+JS88+JZ88+KG88+KN88+KU88</f>
        <v>10214755.038712189</v>
      </c>
      <c r="NH88" s="14">
        <f>U88+AB88+AI88+AP88+AW88+BD88+BK88+BR88+BY88+CF88+CM88+CT88+DA88+DH88+DO88+DV88+EC88+EJ88+EQ88+EX88+FE88+FL88+FS88+FZ88+GG88+GN88+GU88+HB88+HI88+HP88+HW88+ID88+IK88+IR88+IY88+JF88+JM88+JT88+KA88+KH88+KO88+KV88</f>
        <v>40900685.537983358</v>
      </c>
      <c r="NI88" s="14">
        <f>R88+Y88+AF88+AM88+AT88+BA88+BH88+BO88+BV88+CC88+CJ88+CQ88+CX88+DE88+DL88+DS88+DZ88+EG88+EN88+EU88+FB88+FI88+FP88+FW88+GD88+GK88+GR88+GY88+HF88+HM88+HT88+IA88+IH88+IO88+IV88+JC88+JJ88+JQ88+JX88+KE88+KL88+KS88</f>
        <v>41760919.064203456</v>
      </c>
    </row>
    <row r="89" spans="1:373" x14ac:dyDescent="0.25">
      <c r="A89" s="1"/>
      <c r="B89" s="3"/>
      <c r="EK89" s="11">
        <f>EK$88*$D$69/$D$47</f>
        <v>1.8506534705988851E-20</v>
      </c>
      <c r="EL89" s="14">
        <f t="shared" si="94"/>
        <v>5.5519604117966551E-16</v>
      </c>
      <c r="EM89" s="14">
        <f t="shared" si="97"/>
        <v>756.62642125041282</v>
      </c>
      <c r="EN89" s="14">
        <f t="shared" si="98"/>
        <v>378.31321062520635</v>
      </c>
      <c r="EO89" s="14">
        <f t="shared" si="95"/>
        <v>11.34939631875619</v>
      </c>
      <c r="EP89" s="14">
        <f t="shared" si="96"/>
        <v>767.97581756916895</v>
      </c>
      <c r="EQ89" s="14">
        <f>EL89*(VLOOKUP(109,$A$24:$K$72,11,FALSE)-1)</f>
        <v>2.6951264134935218E-16</v>
      </c>
      <c r="ER89" s="11">
        <f>ER$88*$D$68/$D$47</f>
        <v>8.0852640025077367E-18</v>
      </c>
      <c r="ES89" s="14">
        <f t="shared" si="99"/>
        <v>2.4255792007523209E-13</v>
      </c>
      <c r="ET89" s="14">
        <f t="shared" si="102"/>
        <v>1482.0887561655086</v>
      </c>
      <c r="EU89" s="14">
        <f t="shared" si="103"/>
        <v>1135.5764049740128</v>
      </c>
      <c r="EV89" s="14">
        <f t="shared" si="100"/>
        <v>34.067292149220386</v>
      </c>
      <c r="EW89" s="14">
        <f t="shared" si="101"/>
        <v>1516.1560483147289</v>
      </c>
      <c r="EX89" s="14">
        <f>ES89*(VLOOKUP(108,$A$24:$K$72,11,FALSE)-1)</f>
        <v>1.7868303886216953E-13</v>
      </c>
      <c r="EY89" s="11">
        <f>EY$88*$D$67/$D$47</f>
        <v>1.9934283819495353E-15</v>
      </c>
      <c r="EZ89" s="14">
        <f t="shared" si="104"/>
        <v>5.9802851458486052E-11</v>
      </c>
      <c r="FA89" s="14">
        <f t="shared" si="107"/>
        <v>2752.5078261289232</v>
      </c>
      <c r="FB89" s="14">
        <f t="shared" si="108"/>
        <v>2617.9066151710454</v>
      </c>
      <c r="FC89" s="14">
        <f t="shared" si="105"/>
        <v>78.53719845513136</v>
      </c>
      <c r="FD89" s="14">
        <f t="shared" si="106"/>
        <v>2831.0450245840543</v>
      </c>
      <c r="FE89" s="14">
        <f>EZ89*(VLOOKUP(107,$A$24:$K$72,11,FALSE)-1)</f>
        <v>5.4298209375629517E-11</v>
      </c>
      <c r="FF89" s="11">
        <f>FF$88*$D$66/$D$47</f>
        <v>2.8956088284005963E-13</v>
      </c>
      <c r="FG89" s="14">
        <f t="shared" si="109"/>
        <v>8.6868264852017881E-9</v>
      </c>
      <c r="FH89" s="14">
        <f t="shared" si="112"/>
        <v>4875.2605482146519</v>
      </c>
      <c r="FI89" s="14">
        <f t="shared" si="113"/>
        <v>5370.5398567402226</v>
      </c>
      <c r="FJ89" s="14">
        <f t="shared" si="110"/>
        <v>161.11619570220668</v>
      </c>
      <c r="FK89" s="14">
        <f t="shared" si="111"/>
        <v>5036.3767439168587</v>
      </c>
      <c r="FL89" s="14">
        <f>FG89*(VLOOKUP(106,$A$24:$K$72,11,FALSE)-1)</f>
        <v>9.0851601237132297E-9</v>
      </c>
      <c r="FM89" s="11">
        <f>FM$88*$D$65/$D$47</f>
        <v>2.5763453350170911E-11</v>
      </c>
      <c r="FN89" s="14">
        <f t="shared" si="114"/>
        <v>7.7290360050512733E-7</v>
      </c>
      <c r="FO89" s="14">
        <f t="shared" si="117"/>
        <v>8274.9250775115142</v>
      </c>
      <c r="FP89" s="14">
        <f t="shared" si="118"/>
        <v>10246.48406795556</v>
      </c>
      <c r="FQ89" s="14">
        <f t="shared" si="115"/>
        <v>307.39452203866676</v>
      </c>
      <c r="FR89" s="14">
        <f t="shared" si="116"/>
        <v>8582.319599550181</v>
      </c>
      <c r="FS89" s="14">
        <f>FN89*(VLOOKUP(105,$A$24:$K$72,11,FALSE)-1)</f>
        <v>9.0453562139932036E-7</v>
      </c>
      <c r="FT89" s="11">
        <f>FT$88*$D$64/$D$47</f>
        <v>1.4542705508393976E-9</v>
      </c>
      <c r="FU89" s="14">
        <f t="shared" si="119"/>
        <v>4.3628116525181929E-5</v>
      </c>
      <c r="FV89" s="14">
        <f t="shared" si="122"/>
        <v>13511.411817316357</v>
      </c>
      <c r="FW89" s="14">
        <f t="shared" si="123"/>
        <v>18523.232565262275</v>
      </c>
      <c r="FX89" s="14">
        <f t="shared" si="120"/>
        <v>555.69697695786817</v>
      </c>
      <c r="FY89" s="14">
        <f t="shared" si="121"/>
        <v>14067.108794274225</v>
      </c>
      <c r="FZ89" s="14">
        <f>FU89*(VLOOKUP(104,$A$24:$K$72,11,FALSE)-1)</f>
        <v>5.6306274832143913E-5</v>
      </c>
      <c r="GA89" s="11">
        <f>GA$88*$D$63/$D$47</f>
        <v>5.3775236414236578E-8</v>
      </c>
      <c r="GB89" s="14">
        <f t="shared" si="124"/>
        <v>1.6132570924270973E-3</v>
      </c>
      <c r="GC89" s="14">
        <f t="shared" si="127"/>
        <v>21299.465049649447</v>
      </c>
      <c r="GD89" s="14">
        <f t="shared" si="128"/>
        <v>32036.94136605084</v>
      </c>
      <c r="GE89" s="14">
        <f t="shared" si="125"/>
        <v>961.10824098152511</v>
      </c>
      <c r="GF89" s="14">
        <f t="shared" si="126"/>
        <v>22260.573290630971</v>
      </c>
      <c r="GG89" s="14">
        <f>GB89*(VLOOKUP(103,$A$24:$K$72,11,FALSE)-1)</f>
        <v>2.276030303583742E-3</v>
      </c>
      <c r="GH89" s="11">
        <f>GH$88*$D$62/$D$47</f>
        <v>1.3412481678520269E-6</v>
      </c>
      <c r="GI89" s="14">
        <f t="shared" si="129"/>
        <v>4.0237445035560808E-2</v>
      </c>
      <c r="GJ89" s="14">
        <f t="shared" si="132"/>
        <v>32511.394169074811</v>
      </c>
      <c r="GK89" s="14">
        <f t="shared" si="133"/>
        <v>53333.274439560926</v>
      </c>
      <c r="GL89" s="14">
        <f t="shared" si="130"/>
        <v>1599.9982331868277</v>
      </c>
      <c r="GM89" s="14">
        <f t="shared" si="131"/>
        <v>34111.392402261641</v>
      </c>
      <c r="GN89" s="14">
        <f>GI89*(VLOOKUP(102,$A$24:$K$72,11,FALSE)-1)</f>
        <v>6.1697451361738487E-2</v>
      </c>
      <c r="GO89" s="11">
        <f>GO$88*$D$61/$D$47</f>
        <v>2.3208327591960119E-5</v>
      </c>
      <c r="GP89" s="14">
        <f t="shared" si="134"/>
        <v>0.69624982775880351</v>
      </c>
      <c r="GQ89" s="14">
        <f t="shared" si="137"/>
        <v>48243.455812558641</v>
      </c>
      <c r="GR89" s="14">
        <f t="shared" si="138"/>
        <v>85933.496265835682</v>
      </c>
      <c r="GS89" s="14">
        <f t="shared" si="135"/>
        <v>2578.0048879750702</v>
      </c>
      <c r="GT89" s="14">
        <f t="shared" si="136"/>
        <v>50821.460700533709</v>
      </c>
      <c r="GU89" s="14">
        <f>GP89*(VLOOKUP(101,$A$24:$K$72,11,FALSE)-1)</f>
        <v>1.1552253284849119</v>
      </c>
      <c r="GV89" s="11">
        <f>GV$88*$D$60/$D$47</f>
        <v>2.8453464992205224E-4</v>
      </c>
      <c r="GW89" s="14">
        <f t="shared" si="139"/>
        <v>8.5360394976615677</v>
      </c>
      <c r="GX89" s="14">
        <f t="shared" si="142"/>
        <v>69503.709942505375</v>
      </c>
      <c r="GY89" s="14">
        <f t="shared" si="143"/>
        <v>133961.72579677333</v>
      </c>
      <c r="GZ89" s="14">
        <f t="shared" si="140"/>
        <v>4018.8517739032</v>
      </c>
      <c r="HA89" s="14">
        <f t="shared" si="141"/>
        <v>73522.561716408571</v>
      </c>
      <c r="HB89" s="14">
        <f>GW89*(VLOOKUP(100,$A$24:$K$72,11,FALSE)-1)</f>
        <v>15.272326991470919</v>
      </c>
      <c r="HC89" s="11">
        <f>HC$88*$D$59/$D$47</f>
        <v>2.5404222503043255E-3</v>
      </c>
      <c r="HD89" s="14">
        <f t="shared" si="144"/>
        <v>76.212667509129773</v>
      </c>
      <c r="HE89" s="14">
        <f t="shared" si="147"/>
        <v>97875.131427509303</v>
      </c>
      <c r="HF89" s="14">
        <f t="shared" si="148"/>
        <v>203543.84163958684</v>
      </c>
      <c r="HG89" s="14">
        <f t="shared" si="145"/>
        <v>6106.3152491876053</v>
      </c>
      <c r="HH89" s="14">
        <f t="shared" si="146"/>
        <v>103981.44667669691</v>
      </c>
      <c r="HI89" s="14">
        <f>HD89*(VLOOKUP(99,$A$24:$K$72,11,FALSE)-1)</f>
        <v>146.61083722518805</v>
      </c>
      <c r="HJ89" s="11">
        <f>HJ$88*$D$58/$D$47</f>
        <v>1.6892223901789634E-2</v>
      </c>
      <c r="HK89" s="14">
        <f t="shared" si="149"/>
        <v>506.76671705368904</v>
      </c>
      <c r="HL89" s="14">
        <f t="shared" si="152"/>
        <v>134690.49975283994</v>
      </c>
      <c r="HM89" s="14">
        <f t="shared" si="153"/>
        <v>301474.17167737603</v>
      </c>
      <c r="HN89" s="14">
        <f t="shared" si="150"/>
        <v>9044.225150321281</v>
      </c>
      <c r="HO89" s="14">
        <f t="shared" si="151"/>
        <v>143734.72490316123</v>
      </c>
      <c r="HP89" s="14">
        <f>HK89*(VLOOKUP(98,$A$24:$K$72,11,FALSE)-1)</f>
        <v>1045.4893572030869</v>
      </c>
      <c r="HQ89" s="11">
        <f>HQ$88*$D$57/$D$47</f>
        <v>8.5816399590073061E-2</v>
      </c>
      <c r="HR89" s="14">
        <f t="shared" si="154"/>
        <v>2574.4919877021916</v>
      </c>
      <c r="HS89" s="14">
        <f t="shared" si="157"/>
        <v>180830.15488272929</v>
      </c>
      <c r="HT89" s="14">
        <f t="shared" si="158"/>
        <v>436196.67405408318</v>
      </c>
      <c r="HU89" s="14">
        <f t="shared" si="155"/>
        <v>13085.900221622494</v>
      </c>
      <c r="HV89" s="14">
        <f t="shared" si="156"/>
        <v>193916.05510435178</v>
      </c>
      <c r="HW89" s="14">
        <f>HR89*(VLOOKUP(97,$A$24:$K$72,11,FALSE)-1)</f>
        <v>5703.0552394811075</v>
      </c>
      <c r="HX89" s="11">
        <f>HX$88*$D$56/$D$47</f>
        <v>0.3417758190569955</v>
      </c>
      <c r="HY89" s="14">
        <f t="shared" si="159"/>
        <v>10253.274571709864</v>
      </c>
      <c r="HZ89" s="14">
        <f t="shared" si="162"/>
        <v>236659.55221956113</v>
      </c>
      <c r="IA89" s="14">
        <f t="shared" si="163"/>
        <v>617031.6366040078</v>
      </c>
      <c r="IB89" s="14">
        <f t="shared" si="160"/>
        <v>18510.949098120233</v>
      </c>
      <c r="IC89" s="14">
        <f t="shared" si="161"/>
        <v>255170.50131768137</v>
      </c>
      <c r="ID89" s="14">
        <f>HY89*(VLOOKUP(96,$A$24:$K$72,11,FALSE)-1)</f>
        <v>24456.014610152026</v>
      </c>
      <c r="IE89" s="11">
        <f>IE$88*$D$55/$D$47</f>
        <v>1.0944862095143797</v>
      </c>
      <c r="IF89" s="14">
        <f t="shared" si="164"/>
        <v>32834.586285431389</v>
      </c>
      <c r="IG89" s="14">
        <f t="shared" si="167"/>
        <v>301855.58501812076</v>
      </c>
      <c r="IH89" s="14">
        <f t="shared" si="168"/>
        <v>853673.96935938881</v>
      </c>
      <c r="II89" s="14">
        <f t="shared" si="165"/>
        <v>25610.219080781662</v>
      </c>
      <c r="IJ89" s="14">
        <f t="shared" si="166"/>
        <v>327465.80409890244</v>
      </c>
      <c r="IK89" s="14">
        <f>IF89*(VLOOKUP(95,$A$24:$K$72,11,FALSE)-1)</f>
        <v>84604.510839275346</v>
      </c>
      <c r="IL89" s="11">
        <f>IL$88*$D$54/$D$47</f>
        <v>2.8883928809821544</v>
      </c>
      <c r="IM89" s="14">
        <f t="shared" si="169"/>
        <v>86651.786429464628</v>
      </c>
      <c r="IN89" s="14">
        <f t="shared" si="172"/>
        <v>375385.49760245514</v>
      </c>
      <c r="IO89" s="14">
        <f t="shared" si="173"/>
        <v>1155498.5223853684</v>
      </c>
      <c r="IP89" s="14">
        <f t="shared" si="170"/>
        <v>34664.955671561052</v>
      </c>
      <c r="IQ89" s="14">
        <f t="shared" si="171"/>
        <v>410050.45327401621</v>
      </c>
      <c r="IR89" s="14">
        <f>IM89*(VLOOKUP(94,$A$24:$K$72,11,FALSE)-1)</f>
        <v>241953.27959616602</v>
      </c>
      <c r="IS89" s="11">
        <f>IS$88*$D$53/$D$47</f>
        <v>6.4235895570923898</v>
      </c>
      <c r="IT89" s="14">
        <f t="shared" si="174"/>
        <v>192707.68671277168</v>
      </c>
      <c r="IU89" s="14">
        <f t="shared" si="177"/>
        <v>455500.08722346521</v>
      </c>
      <c r="IV89" s="14">
        <f t="shared" si="178"/>
        <v>1530851.9014951903</v>
      </c>
      <c r="IW89" s="14">
        <f t="shared" si="175"/>
        <v>45925.557044855712</v>
      </c>
      <c r="IX89" s="14">
        <f t="shared" si="176"/>
        <v>501425.64426832093</v>
      </c>
      <c r="IY89" s="14">
        <f>IT89*(VLOOKUP(93,$A$24:$K$72,11,FALSE)-1)</f>
        <v>584707.22661019175</v>
      </c>
      <c r="IZ89" s="11">
        <f>IZ$88*$D$52/$D$47</f>
        <v>12.225832765148553</v>
      </c>
      <c r="JA89" s="14">
        <f t="shared" si="179"/>
        <v>366774.98295445659</v>
      </c>
      <c r="JB89" s="14">
        <f t="shared" si="182"/>
        <v>540521.8153104001</v>
      </c>
      <c r="JC89" s="14">
        <f t="shared" si="183"/>
        <v>1986341.7257069773</v>
      </c>
      <c r="JD89" s="14">
        <f t="shared" si="180"/>
        <v>59590.251771209318</v>
      </c>
      <c r="JE89" s="14">
        <f t="shared" si="181"/>
        <v>600112.06708160939</v>
      </c>
      <c r="JF89" s="14">
        <f>JA89*(VLOOKUP(92,$A$24:$K$72,11,FALSE)-1)</f>
        <v>1210568.3193955158</v>
      </c>
      <c r="JG89" s="11">
        <f>JG$88*$D$51/$D$47</f>
        <v>20.181535284091055</v>
      </c>
      <c r="JH89" s="14">
        <f t="shared" si="184"/>
        <v>605446.05852273165</v>
      </c>
      <c r="JI89" s="14">
        <f t="shared" si="187"/>
        <v>631603.36832215986</v>
      </c>
      <c r="JJ89" s="14">
        <f t="shared" si="188"/>
        <v>2526883.864032682</v>
      </c>
      <c r="JK89" s="14">
        <f t="shared" si="185"/>
        <v>75806.515920980455</v>
      </c>
      <c r="JL89" s="14">
        <f t="shared" si="186"/>
        <v>707409.88424314035</v>
      </c>
      <c r="JM89" s="14">
        <f>JH89*(VLOOKUP(91,$A$24:$K$72,11,FALSE)-1)</f>
        <v>2163401.0401099194</v>
      </c>
      <c r="JN89" s="11">
        <f>JN$88*$D$50/$D$47</f>
        <v>29.333271586974675</v>
      </c>
      <c r="JO89" s="14">
        <f t="shared" si="189"/>
        <v>879998.14760924026</v>
      </c>
      <c r="JP89" s="14">
        <f t="shared" si="192"/>
        <v>728248.79495219339</v>
      </c>
      <c r="JQ89" s="14">
        <f t="shared" si="193"/>
        <v>3158521.2951271674</v>
      </c>
      <c r="JR89" s="14">
        <f t="shared" si="190"/>
        <v>94755.63885381502</v>
      </c>
      <c r="JS89" s="14">
        <f t="shared" si="191"/>
        <v>823004.43380600843</v>
      </c>
      <c r="JT89" s="14">
        <f>JO89*(VLOOKUP(90,$A$24:$K$72,11,FALSE)-1)</f>
        <v>3388733.3531915466</v>
      </c>
      <c r="JU89" s="11">
        <f>JU$88*$D$49/$D$47</f>
        <v>38.243440037857496</v>
      </c>
      <c r="JV89" s="14">
        <f t="shared" si="194"/>
        <v>1147303.2011357248</v>
      </c>
      <c r="JW89" s="14">
        <f t="shared" si="197"/>
        <v>827090.05833873863</v>
      </c>
      <c r="JX89" s="14">
        <f t="shared" si="198"/>
        <v>3886791.4462154848</v>
      </c>
      <c r="JY89" s="14">
        <f t="shared" si="195"/>
        <v>116603.74338646454</v>
      </c>
      <c r="JZ89" s="14">
        <f t="shared" si="196"/>
        <v>943693.80172520317</v>
      </c>
      <c r="KA89" s="14">
        <f>JV89*(VLOOKUP(89,$A$24:$K$72,11,FALSE)-1)</f>
        <v>4757594.4833940212</v>
      </c>
      <c r="KB89" s="11">
        <f>KB$88*$D$48/$D$47</f>
        <v>45.307615203406236</v>
      </c>
      <c r="KC89" s="14">
        <f t="shared" si="199"/>
        <v>1359228.456102187</v>
      </c>
      <c r="KD89" s="14">
        <f t="shared" si="202"/>
        <v>922061.78120497172</v>
      </c>
      <c r="KE89" s="14">
        <f t="shared" si="203"/>
        <v>4713877.8535582246</v>
      </c>
      <c r="KF89" s="14">
        <f t="shared" si="200"/>
        <v>141416.33560674672</v>
      </c>
      <c r="KG89" s="14">
        <f t="shared" si="201"/>
        <v>1063478.1168117183</v>
      </c>
      <c r="KH89" s="14">
        <f>KC89*(VLOOKUP(88,$A$24:$K$72,11,FALSE)-1)</f>
        <v>6092307.9552778071</v>
      </c>
      <c r="KI89" s="11">
        <f>KI$88*$D$47/$D$47</f>
        <v>49.087158919180574</v>
      </c>
      <c r="KJ89" s="14">
        <f t="shared" si="204"/>
        <v>1472614.7675754172</v>
      </c>
      <c r="KK89" s="14">
        <f t="shared" si="207"/>
        <v>1014700.5303851648</v>
      </c>
      <c r="KL89" s="14">
        <f t="shared" si="208"/>
        <v>5635918.7963621039</v>
      </c>
      <c r="KM89" s="14">
        <f t="shared" si="205"/>
        <v>169077.56389086312</v>
      </c>
      <c r="KN89" s="14">
        <f t="shared" si="206"/>
        <v>1183778.094276028</v>
      </c>
      <c r="KO89" s="14">
        <f>KJ89*(VLOOKUP(87,$A$24:$K$72,11,FALSE)-1)</f>
        <v>7122391.2117003137</v>
      </c>
      <c r="KP89" s="11">
        <f>KP$88*$D$46/$D$47</f>
        <v>49.087010359414847</v>
      </c>
      <c r="KQ89" s="14">
        <f t="shared" si="209"/>
        <v>1472610.3107824454</v>
      </c>
      <c r="KR89" s="14">
        <f t="shared" ref="KR89:KR96" si="212">KS88/$G48</f>
        <v>1109565.2919039023</v>
      </c>
      <c r="KS89" s="14">
        <f t="shared" ref="KS89:KS96" si="213">KS88-KR89</f>
        <v>6650599.1989894137</v>
      </c>
      <c r="KT89" s="14">
        <f t="shared" si="210"/>
        <v>199517.97596968239</v>
      </c>
      <c r="KU89" s="14">
        <f t="shared" si="211"/>
        <v>1309083.2678735848</v>
      </c>
      <c r="KV89" s="14">
        <f>KQ89*(VLOOKUP(86,$A$24:$K$72,11,FALSE)-1)</f>
        <v>7631173.9609309351</v>
      </c>
      <c r="KW89" s="11">
        <f>($N88-$N89)+(KP88-KP89)+(KI88-KI89)+(KB88-KB89)+(JU88-JU89)+(JN88-JN89)+(JG88-JG89)+(IZ88-IZ89)+(IS88-IS89)+(IL88-IL89)+(IE88-IE89)+(HX88-HX89)+(HQ88-HQ89)+(HJ88-HJ89)+(HC88-HC89)+(GV88-GV89)+(GO88-GO89)+(GH88-GH89)+(GA88-GA89)+(FT88-FT89)+(FM88-FM89)+(FF88-FF89)+(EY88-EY89)+(ER88-ER89)+(EK88-EK89)+(ED88-ED89)+(DW88-DW89)+(DP88-DP89)+(DI88-DI89)+(DB88-DB89)+(CU88-CU89)+(CN88-CN89)+(CG88-CG89)+(BZ88-BZ89)+(BS88-BS89)+(BL88-BL89)+(BE88-BE89)+(AX88-AX89)+(AQ88-AQ89)+(AJ88-AJ89)+(AC88-AC89)+(V88-V89)</f>
        <v>45.680333192057141</v>
      </c>
      <c r="KX89" s="14">
        <f t="shared" ref="KX89:KX96" si="214">KW89*$B$21</f>
        <v>1370409.9957617142</v>
      </c>
      <c r="KY89" s="14">
        <f>KX$46/$G47</f>
        <v>1202128.2265906532</v>
      </c>
      <c r="KZ89" s="14">
        <f>KX$46-KY89</f>
        <v>7760157.9253151258</v>
      </c>
      <c r="LA89" s="14">
        <f t="shared" ref="LA89:LA96" si="215">$B$20*KZ89</f>
        <v>232804.73775945377</v>
      </c>
      <c r="LB89" s="14">
        <f t="shared" ref="LB89:LB96" si="216">KY89+LA89</f>
        <v>1434932.9643501069</v>
      </c>
      <c r="LC89" s="14">
        <f>KX89*(VLOOKUP(85,$A$24:$K$72,11,FALSE)-1)</f>
        <v>7591876.1561440714</v>
      </c>
      <c r="NC89" s="15">
        <v>43</v>
      </c>
      <c r="ND89" s="15">
        <f>N89+V89+AC89+AJ89+AQ89+AX89+BE89+BL89+BS89+BZ89+CG89+CN89+CU89+DB89+DI89+DP89+DW89+ED89+EK89+ER89+EY89+FF89+FM89+FT89+GA89+GH89+GO89+GV89+HC89+HJ89+HQ89+HX89+IE89+IL89+IS89+IZ89+JG89+JN89+JU89+KB89+KI89+KP89+KW89</f>
        <v>299.99999999999994</v>
      </c>
      <c r="NE89" s="14">
        <f>P89+W89+AD89+AK89+AR89+AY89+BF89+BM89+BT89+CA89+CH89+CO89+CV89+DC89+DJ89+DQ89+DX89+EE89+EL89+ES89+EZ89+FG89+FN89+FU89+GB89+GI89+GP89+GW89+HD89+HK89+HR89+HY89+IF89+IM89+IT89+JA89+JH89+JO89+JV89+KC89+KJ89+KQ89+KX89</f>
        <v>8999999.9999999981</v>
      </c>
      <c r="NF89" s="14">
        <f>T89+AA89+AH89+AO89+AV89+BC89+BJ89+BQ89+BX89+CE89+CL89+CS89+CZ89+DG89+DN89+DU89+EB89+EI89+EP89+EW89+FD89+FK89+FR89+FY89+GF89+GM89+GT89+HA89+HH89+HO89+HV89+IC89+IJ89+IQ89+IX89+JE89+JL89+JS89+JZ89+KG89+KN89+KU89+LB89</f>
        <v>10214754.229948575</v>
      </c>
      <c r="NH89" s="14">
        <f>U89+AB89+AI89+AP89+AW89+BD89+BK89+BR89+BY89+CF89+CM89+CT89+DA89+DH89+DO89+DV89+EC89+EJ89+EQ89+EX89+FE89+FL89+FS89+FZ89+GG89+GN89+GU89+HB89+HI89+HP89+HW89+ID89+IK89+IR89+IY89+JF89+JM89+JT89+KA89+KH89+KO89+KV89+LC89</f>
        <v>40900679.158816844</v>
      </c>
      <c r="NI89" s="14">
        <f>R89+Y89+AF89+AM89+AT89+BA89+BH89+BO89+BV89+CC89+CJ89+CQ89+CX89+DE89+DL89+DS89+DZ89+EG89+EN89+EU89+FB89+FI89+FP89+FW89+GD89+GK89+GR89+GY89+HF89+HM89+HT89+IA89+IH89+IO89+IV89+JC89+JJ89+JQ89+JX89+KE89+KL89+KS89+KZ89</f>
        <v>41760900.313111126</v>
      </c>
    </row>
    <row r="90" spans="1:373" x14ac:dyDescent="0.25">
      <c r="A90" s="1"/>
      <c r="B90" s="3"/>
      <c r="ER90" s="11">
        <f>ER$89*$D$69/$D$47</f>
        <v>1.851691804543201E-20</v>
      </c>
      <c r="ES90" s="14">
        <f t="shared" si="99"/>
        <v>5.5550754136296032E-16</v>
      </c>
      <c r="ET90" s="14">
        <f t="shared" si="102"/>
        <v>757.05093664934191</v>
      </c>
      <c r="EU90" s="14">
        <f t="shared" si="103"/>
        <v>378.5254683246709</v>
      </c>
      <c r="EV90" s="14">
        <f t="shared" si="100"/>
        <v>11.355764049740127</v>
      </c>
      <c r="EW90" s="14">
        <f t="shared" si="101"/>
        <v>768.40670069908208</v>
      </c>
      <c r="EX90" s="14">
        <f>ES90*(VLOOKUP(109,$A$24:$K$72,11,FALSE)-1)</f>
        <v>2.6966385503056326E-16</v>
      </c>
      <c r="EY90" s="11">
        <f>EY$89*$D$68/$D$47</f>
        <v>8.0860097891034771E-18</v>
      </c>
      <c r="EZ90" s="14">
        <f t="shared" si="104"/>
        <v>2.4258029367310429E-13</v>
      </c>
      <c r="FA90" s="14">
        <f t="shared" si="107"/>
        <v>1482.2254643704255</v>
      </c>
      <c r="FB90" s="14">
        <f t="shared" si="108"/>
        <v>1135.6811508006199</v>
      </c>
      <c r="FC90" s="14">
        <f t="shared" si="105"/>
        <v>34.070434524018594</v>
      </c>
      <c r="FD90" s="14">
        <f t="shared" si="106"/>
        <v>1516.295898894444</v>
      </c>
      <c r="FE90" s="14">
        <f>EZ90*(VLOOKUP(108,$A$24:$K$72,11,FALSE)-1)</f>
        <v>1.7869952062642957E-13</v>
      </c>
      <c r="FF90" s="11">
        <f>FF$89*$D$67/$D$47</f>
        <v>1.9934749345388879E-15</v>
      </c>
      <c r="FG90" s="14">
        <f t="shared" si="109"/>
        <v>5.9804248036166636E-11</v>
      </c>
      <c r="FH90" s="14">
        <f t="shared" si="112"/>
        <v>2752.5721055219924</v>
      </c>
      <c r="FI90" s="14">
        <f t="shared" si="113"/>
        <v>2617.9677512182302</v>
      </c>
      <c r="FJ90" s="14">
        <f t="shared" si="110"/>
        <v>78.539032536546898</v>
      </c>
      <c r="FK90" s="14">
        <f t="shared" si="111"/>
        <v>2831.1111380585394</v>
      </c>
      <c r="FL90" s="14">
        <f>FG90*(VLOOKUP(107,$A$24:$K$72,11,FALSE)-1)</f>
        <v>5.4299477403247942E-11</v>
      </c>
      <c r="FM90" s="11">
        <f>FM$89*$D$66/$D$47</f>
        <v>2.895802041282187E-13</v>
      </c>
      <c r="FN90" s="14">
        <f t="shared" si="114"/>
        <v>8.6874061238465606E-9</v>
      </c>
      <c r="FO90" s="14">
        <f t="shared" si="117"/>
        <v>4875.5858556697831</v>
      </c>
      <c r="FP90" s="14">
        <f t="shared" si="118"/>
        <v>5370.8982122857769</v>
      </c>
      <c r="FQ90" s="14">
        <f t="shared" si="115"/>
        <v>161.1269463685733</v>
      </c>
      <c r="FR90" s="14">
        <f t="shared" si="116"/>
        <v>5036.7128020383561</v>
      </c>
      <c r="FS90" s="14">
        <f>FN90*(VLOOKUP(106,$A$24:$K$72,11,FALSE)-1)</f>
        <v>9.0857663416353464E-9</v>
      </c>
      <c r="FT90" s="11">
        <f>FT$89*$D$65/$D$47</f>
        <v>2.5765989744160301E-11</v>
      </c>
      <c r="FU90" s="14">
        <f t="shared" si="119"/>
        <v>7.7297969232480905E-7</v>
      </c>
      <c r="FV90" s="14">
        <f t="shared" si="122"/>
        <v>8275.7397381062674</v>
      </c>
      <c r="FW90" s="14">
        <f t="shared" si="123"/>
        <v>10247.492827156007</v>
      </c>
      <c r="FX90" s="14">
        <f t="shared" si="120"/>
        <v>307.42478481468021</v>
      </c>
      <c r="FY90" s="14">
        <f t="shared" si="121"/>
        <v>8583.164522920948</v>
      </c>
      <c r="FZ90" s="14">
        <f>FU90*(VLOOKUP(105,$A$24:$K$72,11,FALSE)-1)</f>
        <v>9.0462467229952865E-7</v>
      </c>
      <c r="GA90" s="11">
        <f>GA$89*$D$64/$D$47</f>
        <v>1.454374826553515E-9</v>
      </c>
      <c r="GB90" s="14">
        <f t="shared" si="124"/>
        <v>4.3631244796605448E-5</v>
      </c>
      <c r="GC90" s="14">
        <f t="shared" si="127"/>
        <v>13512.380627497607</v>
      </c>
      <c r="GD90" s="14">
        <f t="shared" si="128"/>
        <v>18524.560738553235</v>
      </c>
      <c r="GE90" s="14">
        <f t="shared" si="125"/>
        <v>555.73682215659699</v>
      </c>
      <c r="GF90" s="14">
        <f t="shared" si="126"/>
        <v>14068.117449654204</v>
      </c>
      <c r="GG90" s="14">
        <f>GB90*(VLOOKUP(104,$A$24:$K$72,11,FALSE)-1)</f>
        <v>5.6310312166884703E-5</v>
      </c>
      <c r="GH90" s="11">
        <f>GH$89*$D$63/$D$47</f>
        <v>5.3772078669486641E-8</v>
      </c>
      <c r="GI90" s="14">
        <f t="shared" si="129"/>
        <v>1.6131623600845993E-3</v>
      </c>
      <c r="GJ90" s="14">
        <f t="shared" si="132"/>
        <v>21298.214320160911</v>
      </c>
      <c r="GK90" s="14">
        <f t="shared" si="133"/>
        <v>32035.060119400016</v>
      </c>
      <c r="GL90" s="14">
        <f t="shared" si="130"/>
        <v>961.05180358200039</v>
      </c>
      <c r="GM90" s="14">
        <f t="shared" si="131"/>
        <v>22259.266123742909</v>
      </c>
      <c r="GN90" s="14">
        <f>GI90*(VLOOKUP(103,$A$24:$K$72,11,FALSE)-1)</f>
        <v>2.2758966524234481E-3</v>
      </c>
      <c r="GO90" s="11">
        <f>GO$89*$D$62/$D$47</f>
        <v>1.3426360226181391E-6</v>
      </c>
      <c r="GP90" s="14">
        <f t="shared" si="134"/>
        <v>4.0279080678544174E-2</v>
      </c>
      <c r="GQ90" s="14">
        <f t="shared" si="137"/>
        <v>32545.035291152046</v>
      </c>
      <c r="GR90" s="14">
        <f t="shared" si="138"/>
        <v>53388.460974683636</v>
      </c>
      <c r="GS90" s="14">
        <f t="shared" si="135"/>
        <v>1601.6538292405089</v>
      </c>
      <c r="GT90" s="14">
        <f t="shared" si="136"/>
        <v>34146.689120392555</v>
      </c>
      <c r="GU90" s="14">
        <f>GP90*(VLOOKUP(102,$A$24:$K$72,11,FALSE)-1)</f>
        <v>6.1761292717858657E-2</v>
      </c>
      <c r="GV90" s="11">
        <f>GV$89*$D$61/$D$47</f>
        <v>2.3171100318774323E-5</v>
      </c>
      <c r="GW90" s="14">
        <f t="shared" si="139"/>
        <v>0.69513300956322965</v>
      </c>
      <c r="GX90" s="14">
        <f t="shared" si="142"/>
        <v>48166.07099015623</v>
      </c>
      <c r="GY90" s="14">
        <f t="shared" si="143"/>
        <v>85795.654806617094</v>
      </c>
      <c r="GZ90" s="14">
        <f t="shared" si="140"/>
        <v>2573.8696441985126</v>
      </c>
      <c r="HA90" s="14">
        <f t="shared" si="141"/>
        <v>50739.940634354745</v>
      </c>
      <c r="HB90" s="14">
        <f>GW90*(VLOOKUP(101,$A$24:$K$72,11,FALSE)-1)</f>
        <v>1.1533722915211646</v>
      </c>
      <c r="HC90" s="11">
        <f>HC$89*$D$60/$D$47</f>
        <v>2.8464429604113396E-4</v>
      </c>
      <c r="HD90" s="14">
        <f t="shared" si="144"/>
        <v>8.5393288812340185</v>
      </c>
      <c r="HE90" s="14">
        <f t="shared" si="147"/>
        <v>69530.493366102601</v>
      </c>
      <c r="HF90" s="14">
        <f t="shared" si="148"/>
        <v>134013.34827348424</v>
      </c>
      <c r="HG90" s="14">
        <f t="shared" si="145"/>
        <v>4020.400448204527</v>
      </c>
      <c r="HH90" s="14">
        <f t="shared" si="146"/>
        <v>73550.893814307128</v>
      </c>
      <c r="HI90" s="14">
        <f>HD90*(VLOOKUP(100,$A$24:$K$72,11,FALSE)-1)</f>
        <v>15.278212219805745</v>
      </c>
      <c r="HJ90" s="11">
        <f>HJ$89*$D$59/$D$47</f>
        <v>2.5408874757555087E-3</v>
      </c>
      <c r="HK90" s="14">
        <f t="shared" si="149"/>
        <v>76.226624272665262</v>
      </c>
      <c r="HL90" s="14">
        <f t="shared" si="152"/>
        <v>97893.055220364098</v>
      </c>
      <c r="HM90" s="14">
        <f t="shared" si="153"/>
        <v>203581.11645701193</v>
      </c>
      <c r="HN90" s="14">
        <f t="shared" si="150"/>
        <v>6107.4334937103577</v>
      </c>
      <c r="HO90" s="14">
        <f t="shared" si="151"/>
        <v>104000.48871407445</v>
      </c>
      <c r="HP90" s="14">
        <f>HK90*(VLOOKUP(99,$A$24:$K$72,11,FALSE)-1)</f>
        <v>146.6376859480286</v>
      </c>
      <c r="HQ90" s="11">
        <f>HQ$89*$D$58/$D$47</f>
        <v>1.6893463331581204E-2</v>
      </c>
      <c r="HR90" s="14">
        <f t="shared" si="154"/>
        <v>506.80389994743615</v>
      </c>
      <c r="HS90" s="14">
        <f t="shared" si="157"/>
        <v>134700.38237214505</v>
      </c>
      <c r="HT90" s="14">
        <f t="shared" si="158"/>
        <v>301496.29168193811</v>
      </c>
      <c r="HU90" s="14">
        <f t="shared" si="155"/>
        <v>9044.8887504581435</v>
      </c>
      <c r="HV90" s="14">
        <f t="shared" si="156"/>
        <v>143745.27112260318</v>
      </c>
      <c r="HW90" s="14">
        <f>HR90*(VLOOKUP(98,$A$24:$K$72,11,FALSE)-1)</f>
        <v>1045.5660676861837</v>
      </c>
      <c r="HX90" s="11">
        <f>HX$89*$D$57/$D$47</f>
        <v>8.5817068242828157E-2</v>
      </c>
      <c r="HY90" s="14">
        <f t="shared" si="159"/>
        <v>2574.5120472848448</v>
      </c>
      <c r="HZ90" s="14">
        <f t="shared" si="162"/>
        <v>180831.56385096663</v>
      </c>
      <c r="IA90" s="14">
        <f t="shared" si="163"/>
        <v>436200.07275304117</v>
      </c>
      <c r="IB90" s="14">
        <f t="shared" si="160"/>
        <v>13086.002182591235</v>
      </c>
      <c r="IC90" s="14">
        <f t="shared" si="161"/>
        <v>193917.56603355787</v>
      </c>
      <c r="ID90" s="14">
        <f>HY90*(VLOOKUP(97,$A$24:$K$72,11,FALSE)-1)</f>
        <v>5703.0996757848516</v>
      </c>
      <c r="IE90" s="11">
        <f>IE$89*$D$56/$D$47</f>
        <v>0.34176892523338498</v>
      </c>
      <c r="IF90" s="14">
        <f t="shared" si="164"/>
        <v>10253.067757001549</v>
      </c>
      <c r="IG90" s="14">
        <f t="shared" si="167"/>
        <v>236654.77865420669</v>
      </c>
      <c r="IH90" s="14">
        <f t="shared" si="168"/>
        <v>617019.19070518215</v>
      </c>
      <c r="II90" s="14">
        <f t="shared" si="165"/>
        <v>18510.575721155463</v>
      </c>
      <c r="IJ90" s="14">
        <f t="shared" si="166"/>
        <v>255165.35437536216</v>
      </c>
      <c r="IK90" s="14">
        <f>IF90*(VLOOKUP(96,$A$24:$K$72,11,FALSE)-1)</f>
        <v>24455.521317644077</v>
      </c>
      <c r="IL90" s="11">
        <f>IL$89*$D$55/$D$47</f>
        <v>1.0944568168542574</v>
      </c>
      <c r="IM90" s="14">
        <f t="shared" si="169"/>
        <v>32833.70450562772</v>
      </c>
      <c r="IN90" s="14">
        <f t="shared" si="172"/>
        <v>301847.47862213413</v>
      </c>
      <c r="IO90" s="14">
        <f t="shared" si="173"/>
        <v>853651.04376323428</v>
      </c>
      <c r="IP90" s="14">
        <f t="shared" si="170"/>
        <v>25609.531312897027</v>
      </c>
      <c r="IQ90" s="14">
        <f t="shared" si="171"/>
        <v>327457.00993503118</v>
      </c>
      <c r="IR90" s="14">
        <f>IM90*(VLOOKUP(95,$A$24:$K$72,11,FALSE)-1)</f>
        <v>84602.23876712835</v>
      </c>
      <c r="IS90" s="11">
        <f>IS$89*$D$54/$D$47</f>
        <v>2.8883322814695491</v>
      </c>
      <c r="IT90" s="14">
        <f t="shared" si="174"/>
        <v>86649.96844408648</v>
      </c>
      <c r="IU90" s="14">
        <f t="shared" si="177"/>
        <v>375377.62188085774</v>
      </c>
      <c r="IV90" s="14">
        <f t="shared" si="178"/>
        <v>1155474.2796143326</v>
      </c>
      <c r="IW90" s="14">
        <f t="shared" si="175"/>
        <v>34664.228388429976</v>
      </c>
      <c r="IX90" s="14">
        <f t="shared" si="176"/>
        <v>410041.85026928771</v>
      </c>
      <c r="IY90" s="14">
        <f>IT90*(VLOOKUP(94,$A$24:$K$72,11,FALSE)-1)</f>
        <v>241948.20333008282</v>
      </c>
      <c r="IZ90" s="11">
        <f>IZ$89*$D$53/$D$47</f>
        <v>6.4235563679219876</v>
      </c>
      <c r="JA90" s="14">
        <f t="shared" si="179"/>
        <v>192706.69103765962</v>
      </c>
      <c r="JB90" s="14">
        <f t="shared" si="182"/>
        <v>455497.73376207409</v>
      </c>
      <c r="JC90" s="14">
        <f t="shared" si="183"/>
        <v>1530843.9919449033</v>
      </c>
      <c r="JD90" s="14">
        <f t="shared" si="180"/>
        <v>45925.319758347097</v>
      </c>
      <c r="JE90" s="14">
        <f t="shared" si="181"/>
        <v>501423.05352042121</v>
      </c>
      <c r="JF90" s="14">
        <f>JA90*(VLOOKUP(93,$A$24:$K$72,11,FALSE)-1)</f>
        <v>584704.20556602208</v>
      </c>
      <c r="JG90" s="11">
        <f>JG$89*$D$52/$D$47</f>
        <v>12.225931094869303</v>
      </c>
      <c r="JH90" s="14">
        <f t="shared" si="184"/>
        <v>366777.93284607906</v>
      </c>
      <c r="JI90" s="14">
        <f t="shared" si="187"/>
        <v>540526.16261010454</v>
      </c>
      <c r="JJ90" s="14">
        <f t="shared" si="188"/>
        <v>1986357.7014225775</v>
      </c>
      <c r="JK90" s="14">
        <f t="shared" si="185"/>
        <v>59590.731042677326</v>
      </c>
      <c r="JL90" s="14">
        <f t="shared" si="186"/>
        <v>600116.89365278184</v>
      </c>
      <c r="JM90" s="14">
        <f>JH90*(VLOOKUP(92,$A$24:$K$72,11,FALSE)-1)</f>
        <v>1210578.055733897</v>
      </c>
      <c r="JN90" s="11">
        <f>JN$89*$D$51/$D$47</f>
        <v>20.181752932284965</v>
      </c>
      <c r="JO90" s="14">
        <f t="shared" si="189"/>
        <v>605452.58796854899</v>
      </c>
      <c r="JP90" s="14">
        <f t="shared" si="192"/>
        <v>631610.17986203718</v>
      </c>
      <c r="JQ90" s="14">
        <f t="shared" si="193"/>
        <v>2526911.1152651301</v>
      </c>
      <c r="JR90" s="14">
        <f t="shared" si="190"/>
        <v>75807.333457953893</v>
      </c>
      <c r="JS90" s="14">
        <f t="shared" si="191"/>
        <v>707417.51331999106</v>
      </c>
      <c r="JT90" s="14">
        <f>JO90*(VLOOKUP(91,$A$24:$K$72,11,FALSE)-1)</f>
        <v>2163424.3713541711</v>
      </c>
      <c r="JU90" s="11">
        <f>JU$89*$D$50/$D$47</f>
        <v>29.333432760732389</v>
      </c>
      <c r="JV90" s="14">
        <f t="shared" si="194"/>
        <v>880002.98282197164</v>
      </c>
      <c r="JW90" s="14">
        <f t="shared" si="197"/>
        <v>728252.79636725958</v>
      </c>
      <c r="JX90" s="14">
        <f t="shared" si="198"/>
        <v>3158538.6498482251</v>
      </c>
      <c r="JY90" s="14">
        <f t="shared" si="195"/>
        <v>94756.159495446744</v>
      </c>
      <c r="JZ90" s="14">
        <f t="shared" si="196"/>
        <v>823008.95586270629</v>
      </c>
      <c r="KA90" s="14">
        <f>JV90*(VLOOKUP(90,$A$24:$K$72,11,FALSE)-1)</f>
        <v>3388751.9728292096</v>
      </c>
      <c r="KB90" s="11">
        <f>KB$89*$D$49/$D$47</f>
        <v>38.243410417544347</v>
      </c>
      <c r="KC90" s="14">
        <f t="shared" si="199"/>
        <v>1147302.3125263304</v>
      </c>
      <c r="KD90" s="14">
        <f t="shared" si="202"/>
        <v>827089.41774085967</v>
      </c>
      <c r="KE90" s="14">
        <f t="shared" si="203"/>
        <v>3886788.4358173651</v>
      </c>
      <c r="KF90" s="14">
        <f t="shared" si="200"/>
        <v>116603.65307452095</v>
      </c>
      <c r="KG90" s="14">
        <f t="shared" si="201"/>
        <v>943693.07081538066</v>
      </c>
      <c r="KH90" s="14">
        <f>KC90*(VLOOKUP(89,$A$24:$K$72,11,FALSE)-1)</f>
        <v>4757590.7985414481</v>
      </c>
      <c r="KI90" s="11">
        <f>KI$89*$D$48/$D$47</f>
        <v>45.307447682403669</v>
      </c>
      <c r="KJ90" s="14">
        <f t="shared" si="204"/>
        <v>1359223.4304721102</v>
      </c>
      <c r="KK90" s="14">
        <f t="shared" si="207"/>
        <v>922058.37196099933</v>
      </c>
      <c r="KL90" s="14">
        <f t="shared" si="208"/>
        <v>4713860.4244011045</v>
      </c>
      <c r="KM90" s="14">
        <f t="shared" si="205"/>
        <v>141415.81273203314</v>
      </c>
      <c r="KN90" s="14">
        <f t="shared" si="206"/>
        <v>1063474.1846930324</v>
      </c>
      <c r="KO90" s="14">
        <f>KJ90*(VLOOKUP(88,$A$24:$K$72,11,FALSE)-1)</f>
        <v>6092285.4294941835</v>
      </c>
      <c r="KP90" s="11">
        <f>KP$89*$D$47/$D$47</f>
        <v>49.087010359414847</v>
      </c>
      <c r="KQ90" s="14">
        <f t="shared" si="209"/>
        <v>1472610.3107824454</v>
      </c>
      <c r="KR90" s="14">
        <f t="shared" si="212"/>
        <v>1014697.4594461188</v>
      </c>
      <c r="KS90" s="14">
        <f t="shared" si="213"/>
        <v>5635901.7395432945</v>
      </c>
      <c r="KT90" s="14">
        <f t="shared" si="210"/>
        <v>169077.05218629882</v>
      </c>
      <c r="KU90" s="14">
        <f t="shared" si="211"/>
        <v>1183774.5116324176</v>
      </c>
      <c r="KV90" s="14">
        <f>KQ90*(VLOOKUP(87,$A$24:$K$72,11,FALSE)-1)</f>
        <v>7122369.6561490623</v>
      </c>
      <c r="KW90" s="11">
        <f>KW$89*$D$46/$D$47</f>
        <v>49.086968828774062</v>
      </c>
      <c r="KX90" s="14">
        <f t="shared" si="214"/>
        <v>1472609.064863222</v>
      </c>
      <c r="KY90" s="14">
        <f t="shared" ref="KY90:KY96" si="217">KZ89/$G48</f>
        <v>1109564.3531431726</v>
      </c>
      <c r="KZ90" s="14">
        <f t="shared" ref="KZ90:KZ96" si="218">KZ89-KY90</f>
        <v>6650593.5721719535</v>
      </c>
      <c r="LA90" s="14">
        <f t="shared" si="215"/>
        <v>199517.80716515859</v>
      </c>
      <c r="LB90" s="14">
        <f t="shared" si="216"/>
        <v>1309082.1603083313</v>
      </c>
      <c r="LC90" s="14">
        <f>KX90*(VLOOKUP(86,$A$24:$K$72,11,FALSE)-1)</f>
        <v>7631167.5044867108</v>
      </c>
      <c r="LD90" s="11">
        <f>($N89-$N90)+(KW89-KW90)+(KP89-KP90)+(KI89-KI90)+(KB89-KB90)+(JU89-JU90)+(JN89-JN90)+(JG89-JG90)+(IZ89-IZ90)+(IS89-IS90)+(IL89-IL90)+(IE89-IE90)+(HX89-HX90)+(HQ89-HQ90)+(HJ89-HJ90)+(HC89-HC90)+(GV89-GV90)+(GO89-GO90)+(GH89-GH90)+(GA89-GA90)+(FT89-FT90)+(FM89-FM90)+(FF89-FF90)+(EY89-EY90)+(ER89-ER90)+(EK89-EK90)+(ED89-ED90)+(DW89-DW90)+(DP89-DP90)+(DI89-DI90)+(DB89-DB90)+(CU89-CU90)+(CN89-CN90)+(CG89-CG90)+(BZ89-BZ90)+(BS89-BS90)+(BL89-BL90)+(BE89-BE90)+(AX89-AX90)+(AQ89-AQ90)+(AJ89-AJ90)+(AC89-AC90)+(V89-V90)</f>
        <v>45.680370900162082</v>
      </c>
      <c r="LE90" s="14">
        <f t="shared" ref="LE90:LE96" si="219">LD90*$B$21</f>
        <v>1370411.1270048625</v>
      </c>
      <c r="LF90" s="14">
        <f>LE$46/$G47</f>
        <v>1202129.2189209235</v>
      </c>
      <c r="LG90" s="14">
        <f>LE$46-LF90</f>
        <v>7760164.331153905</v>
      </c>
      <c r="LH90" s="14">
        <f t="shared" ref="LH90:LH96" si="220">$B$20*LG90</f>
        <v>232804.92993461713</v>
      </c>
      <c r="LI90" s="14">
        <f t="shared" ref="LI90:LI96" si="221">LF90+LH90</f>
        <v>1434934.1488555407</v>
      </c>
      <c r="LJ90" s="14">
        <f>LE90*(VLOOKUP(85,$A$24:$K$72,11,FALSE)-1)</f>
        <v>7591882.4230699632</v>
      </c>
      <c r="NC90" s="15">
        <v>44</v>
      </c>
      <c r="ND90" s="15">
        <f>N90+V90+AC90+AJ90+AQ90+AX90+BE90+BL90+BS90+BZ90+CG90+CN90+CU90+DB90+DI90+DP90+DW90+ED90+EK90+ER90+EY90+FF90+FM90+FT90+GA90+GH90+GO90+GV90+HC90+HJ90+HQ90+HX90+IE90+IL90+IS90+IZ90+JG90+JN90+JU90+KB90+KI90+KP90+KW90+LD90</f>
        <v>299.99999999999989</v>
      </c>
      <c r="NE90" s="14">
        <f>P90+W90+AD90+AK90+AR90+AY90+BF90+BM90+BT90+CA90+CH90+CO90+CV90+DC90+DJ90+DQ90+DX90+EE90+EL90+ES90+EZ90+FG90+FN90+FU90+GB90+GI90+GP90+GW90+HD90+HK90+HR90+HY90+IF90+IM90+IT90+JA90+JH90+JO90+JV90+KC90+KJ90+KQ90+KX90+LE90</f>
        <v>8999999.9999999963</v>
      </c>
      <c r="NF90" s="14">
        <f>T90+AA90+AH90+AO90+AV90+BC90+BJ90+BQ90+BX90+CE90+CL90+CS90+CZ90+DG90+DN90+DU90+EB90+EI90+EP90+EW90+FD90+FK90+FR90+FY90+GF90+GM90+GT90+HA90+HH90+HO90+HV90+IC90+IJ90+IQ90+IX90+JE90+JL90+JS90+JZ90+KG90+KN90+KU90+LB90+LI90</f>
        <v>10214752.631315582</v>
      </c>
      <c r="NH90" s="14">
        <f>U90+AB90+AI90+AP90+AW90+BD90+BK90+BR90+BY90+CF90+CM90+CT90+DA90+DH90+DO90+DV90+EC90+EJ90+EQ90+EX90+FE90+FL90+FS90+FZ90+GG90+GN90+GU90+HB90+HI90+HP90+HW90+ID90+IK90+IR90+IY90+JF90+JM90+JT90+KA90+KH90+KO90+KV90+LC90+LJ90</f>
        <v>40900672.179747865</v>
      </c>
      <c r="NI90" s="14">
        <f>R90+Y90+AF90+AM90+AT90+BA90+BH90+BO90+BV90+CC90+CJ90+CQ90+CX90+DE90+DL90+DS90+DZ90+EG90+EN90+EU90+FB90+FI90+FP90+FW90+GD90+GK90+GR90+GY90+HF90+HM90+HT90+IA90+IH90+IO90+IV90+JC90+JJ90+JQ90+JX90+KE90+KL90+KS90+KZ90+LG90</f>
        <v>41760889.606865726</v>
      </c>
    </row>
    <row r="91" spans="1:373" x14ac:dyDescent="0.25">
      <c r="A91" s="1"/>
      <c r="B91" s="3"/>
      <c r="EY91" s="11">
        <f>EY$90*$D$69/$D$47</f>
        <v>1.8518626050175999E-20</v>
      </c>
      <c r="EZ91" s="14">
        <f t="shared" si="104"/>
        <v>5.5555878150527995E-16</v>
      </c>
      <c r="FA91" s="14">
        <f t="shared" si="107"/>
        <v>757.1207672004133</v>
      </c>
      <c r="FB91" s="14">
        <f t="shared" si="108"/>
        <v>378.56038360020659</v>
      </c>
      <c r="FC91" s="14">
        <f t="shared" si="105"/>
        <v>11.356811508006198</v>
      </c>
      <c r="FD91" s="14">
        <f t="shared" si="106"/>
        <v>768.47757870841951</v>
      </c>
      <c r="FE91" s="14">
        <f>EZ91*(VLOOKUP(109,$A$24:$K$72,11,FALSE)-1)</f>
        <v>2.6968872888605822E-16</v>
      </c>
      <c r="FF91" s="11">
        <f>FF$90*$D$68/$D$47</f>
        <v>8.086198621918651E-18</v>
      </c>
      <c r="FG91" s="14">
        <f t="shared" si="109"/>
        <v>2.4258595865755953E-13</v>
      </c>
      <c r="FH91" s="14">
        <f t="shared" si="112"/>
        <v>1482.2600788235932</v>
      </c>
      <c r="FI91" s="14">
        <f t="shared" si="113"/>
        <v>1135.707672394637</v>
      </c>
      <c r="FJ91" s="14">
        <f t="shared" si="110"/>
        <v>34.071230171839112</v>
      </c>
      <c r="FK91" s="14">
        <f t="shared" si="111"/>
        <v>1516.3313089954322</v>
      </c>
      <c r="FL91" s="14">
        <f>FG91*(VLOOKUP(108,$A$24:$K$72,11,FALSE)-1)</f>
        <v>1.7870369380138612E-13</v>
      </c>
      <c r="FM91" s="11">
        <f>FM$90*$D$67/$D$47</f>
        <v>1.9936079514825801E-15</v>
      </c>
      <c r="FN91" s="14">
        <f t="shared" si="114"/>
        <v>5.9808238544477397E-11</v>
      </c>
      <c r="FO91" s="14">
        <f t="shared" si="117"/>
        <v>2752.7557741111591</v>
      </c>
      <c r="FP91" s="14">
        <f t="shared" si="118"/>
        <v>2618.1424381746178</v>
      </c>
      <c r="FQ91" s="14">
        <f t="shared" si="115"/>
        <v>78.544273145238535</v>
      </c>
      <c r="FR91" s="14">
        <f t="shared" si="116"/>
        <v>2831.3000472563976</v>
      </c>
      <c r="FS91" s="14">
        <f>FN91*(VLOOKUP(107,$A$24:$K$72,11,FALSE)-1)</f>
        <v>5.4303100599307801E-11</v>
      </c>
      <c r="FT91" s="11">
        <f>FT$90*$D$66/$D$47</f>
        <v>2.8960871309707524E-13</v>
      </c>
      <c r="FU91" s="14">
        <f t="shared" si="119"/>
        <v>8.688261392912257E-9</v>
      </c>
      <c r="FV91" s="14">
        <f t="shared" si="122"/>
        <v>4876.0658536922128</v>
      </c>
      <c r="FW91" s="14">
        <f t="shared" si="123"/>
        <v>5371.4269734637946</v>
      </c>
      <c r="FX91" s="14">
        <f t="shared" si="120"/>
        <v>161.14280920391383</v>
      </c>
      <c r="FY91" s="14">
        <f t="shared" si="121"/>
        <v>5037.208662896127</v>
      </c>
      <c r="FZ91" s="14">
        <f>FU91*(VLOOKUP(106,$A$24:$K$72,11,FALSE)-1)</f>
        <v>9.0866608289862748E-9</v>
      </c>
      <c r="GA91" s="11">
        <f>GA$90*$D$65/$D$47</f>
        <v>2.5767837245630343E-11</v>
      </c>
      <c r="GB91" s="14">
        <f t="shared" si="124"/>
        <v>7.7303511736891034E-7</v>
      </c>
      <c r="GC91" s="14">
        <f t="shared" si="127"/>
        <v>8276.3331343422851</v>
      </c>
      <c r="GD91" s="14">
        <f t="shared" si="128"/>
        <v>10248.22760421095</v>
      </c>
      <c r="GE91" s="14">
        <f t="shared" si="125"/>
        <v>307.44682812632846</v>
      </c>
      <c r="GF91" s="14">
        <f t="shared" si="126"/>
        <v>8583.779962468614</v>
      </c>
      <c r="GG91" s="14">
        <f>GB91*(VLOOKUP(105,$A$24:$K$72,11,FALSE)-1)</f>
        <v>9.0468953669746201E-7</v>
      </c>
      <c r="GH91" s="11">
        <f>GH$90*$D$64/$D$47</f>
        <v>1.4542894239634155E-9</v>
      </c>
      <c r="GI91" s="14">
        <f t="shared" si="129"/>
        <v>4.3628682718902465E-5</v>
      </c>
      <c r="GJ91" s="14">
        <f t="shared" si="132"/>
        <v>13511.587164710079</v>
      </c>
      <c r="GK91" s="14">
        <f t="shared" si="133"/>
        <v>18523.472954689936</v>
      </c>
      <c r="GL91" s="14">
        <f t="shared" si="130"/>
        <v>555.70418864069802</v>
      </c>
      <c r="GM91" s="14">
        <f t="shared" si="131"/>
        <v>14067.291353350778</v>
      </c>
      <c r="GN91" s="14">
        <f>GI91*(VLOOKUP(104,$A$24:$K$72,11,FALSE)-1)</f>
        <v>5.6307005559522862E-5</v>
      </c>
      <c r="GO91" s="11">
        <f>GO$90*$D$63/$D$47</f>
        <v>5.3827719256705276E-8</v>
      </c>
      <c r="GP91" s="14">
        <f t="shared" si="134"/>
        <v>1.6148315777011583E-3</v>
      </c>
      <c r="GQ91" s="14">
        <f t="shared" si="137"/>
        <v>21320.252619233706</v>
      </c>
      <c r="GR91" s="14">
        <f t="shared" si="138"/>
        <v>32068.20835544993</v>
      </c>
      <c r="GS91" s="14">
        <f t="shared" si="135"/>
        <v>962.04625066349786</v>
      </c>
      <c r="GT91" s="14">
        <f t="shared" si="136"/>
        <v>22282.298869897204</v>
      </c>
      <c r="GU91" s="14">
        <f>GP91*(VLOOKUP(103,$A$24:$K$72,11,FALSE)-1)</f>
        <v>2.2782516334716629E-3</v>
      </c>
      <c r="GV91" s="11">
        <f>GV$90*$D$62/$D$47</f>
        <v>1.3404823698913302E-6</v>
      </c>
      <c r="GW91" s="14">
        <f t="shared" si="139"/>
        <v>4.0214471096739909E-2</v>
      </c>
      <c r="GX91" s="14">
        <f t="shared" si="142"/>
        <v>32492.831489959375</v>
      </c>
      <c r="GY91" s="14">
        <f t="shared" si="143"/>
        <v>53302.823316657719</v>
      </c>
      <c r="GZ91" s="14">
        <f t="shared" si="140"/>
        <v>1599.0846994997314</v>
      </c>
      <c r="HA91" s="14">
        <f t="shared" si="141"/>
        <v>34091.916189459109</v>
      </c>
      <c r="HB91" s="14">
        <f>GW91*(VLOOKUP(102,$A$24:$K$72,11,FALSE)-1)</f>
        <v>6.1662224635197146E-2</v>
      </c>
      <c r="HC91" s="11">
        <f>HC$90*$D$61/$D$47</f>
        <v>2.3180029358613591E-5</v>
      </c>
      <c r="HD91" s="14">
        <f t="shared" si="144"/>
        <v>0.69540088075840778</v>
      </c>
      <c r="HE91" s="14">
        <f t="shared" si="147"/>
        <v>48184.631902709094</v>
      </c>
      <c r="HF91" s="14">
        <f t="shared" si="148"/>
        <v>85828.716370775146</v>
      </c>
      <c r="HG91" s="14">
        <f t="shared" si="145"/>
        <v>2574.8614911232544</v>
      </c>
      <c r="HH91" s="14">
        <f t="shared" si="146"/>
        <v>50759.493393832352</v>
      </c>
      <c r="HI91" s="14">
        <f>HD91*(VLOOKUP(101,$A$24:$K$72,11,FALSE)-1)</f>
        <v>1.1538167463376743</v>
      </c>
      <c r="HJ91" s="11">
        <f>HJ$90*$D$60/$D$47</f>
        <v>2.8469642271851473E-4</v>
      </c>
      <c r="HK91" s="14">
        <f t="shared" si="149"/>
        <v>8.5408926815554427</v>
      </c>
      <c r="HL91" s="14">
        <f t="shared" si="152"/>
        <v>69543.226428546637</v>
      </c>
      <c r="HM91" s="14">
        <f t="shared" si="153"/>
        <v>134037.89002846531</v>
      </c>
      <c r="HN91" s="14">
        <f t="shared" si="150"/>
        <v>4021.1367008539592</v>
      </c>
      <c r="HO91" s="14">
        <f t="shared" si="151"/>
        <v>73564.36312940059</v>
      </c>
      <c r="HP91" s="14">
        <f>HK91*(VLOOKUP(100,$A$24:$K$72,11,FALSE)-1)</f>
        <v>15.281010106327322</v>
      </c>
      <c r="HQ91" s="11">
        <f>HQ$90*$D$59/$D$47</f>
        <v>2.5410739077879512E-3</v>
      </c>
      <c r="HR91" s="14">
        <f t="shared" si="154"/>
        <v>76.232217233638536</v>
      </c>
      <c r="HS91" s="14">
        <f t="shared" si="157"/>
        <v>97900.237908075025</v>
      </c>
      <c r="HT91" s="14">
        <f t="shared" si="158"/>
        <v>203596.05377386307</v>
      </c>
      <c r="HU91" s="14">
        <f t="shared" si="155"/>
        <v>6107.8816132158918</v>
      </c>
      <c r="HV91" s="14">
        <f t="shared" si="156"/>
        <v>104008.11952129092</v>
      </c>
      <c r="HW91" s="14">
        <f>HR91*(VLOOKUP(99,$A$24:$K$72,11,FALSE)-1)</f>
        <v>146.64844516585498</v>
      </c>
      <c r="HX91" s="11">
        <f>HX$90*$D$58/$D$47</f>
        <v>1.6893594959811398E-2</v>
      </c>
      <c r="HY91" s="14">
        <f t="shared" si="159"/>
        <v>506.80784879434196</v>
      </c>
      <c r="HZ91" s="14">
        <f t="shared" si="162"/>
        <v>134701.43191258505</v>
      </c>
      <c r="IA91" s="14">
        <f t="shared" si="163"/>
        <v>301498.64084045612</v>
      </c>
      <c r="IB91" s="14">
        <f t="shared" si="160"/>
        <v>9044.9592252136827</v>
      </c>
      <c r="IC91" s="14">
        <f t="shared" si="161"/>
        <v>143746.39113779872</v>
      </c>
      <c r="ID91" s="14">
        <f>HY91*(VLOOKUP(98,$A$24:$K$72,11,FALSE)-1)</f>
        <v>1045.574214388156</v>
      </c>
      <c r="IE91" s="11">
        <f>IE$90*$D$57/$D$47</f>
        <v>8.5815337261002489E-2</v>
      </c>
      <c r="IF91" s="14">
        <f t="shared" si="164"/>
        <v>2574.4601178300745</v>
      </c>
      <c r="IG91" s="14">
        <f t="shared" si="167"/>
        <v>180827.91636967935</v>
      </c>
      <c r="IH91" s="14">
        <f t="shared" si="168"/>
        <v>436191.27433550276</v>
      </c>
      <c r="II91" s="14">
        <f t="shared" si="165"/>
        <v>13085.738230065082</v>
      </c>
      <c r="IJ91" s="14">
        <f t="shared" si="166"/>
        <v>193913.65459974445</v>
      </c>
      <c r="IK91" s="14">
        <f>IF91*(VLOOKUP(97,$A$24:$K$72,11,FALSE)-1)</f>
        <v>5702.9846408379472</v>
      </c>
      <c r="IL91" s="11">
        <f>IL$90*$D$56/$D$47</f>
        <v>0.34175974695615097</v>
      </c>
      <c r="IM91" s="14">
        <f t="shared" si="169"/>
        <v>10252.792408684529</v>
      </c>
      <c r="IN91" s="14">
        <f t="shared" si="172"/>
        <v>236648.42323975317</v>
      </c>
      <c r="IO91" s="14">
        <f t="shared" si="173"/>
        <v>617002.62052348116</v>
      </c>
      <c r="IP91" s="14">
        <f t="shared" si="170"/>
        <v>18510.078615704435</v>
      </c>
      <c r="IQ91" s="14">
        <f t="shared" si="171"/>
        <v>255158.50185545761</v>
      </c>
      <c r="IR91" s="14">
        <f>IM91*(VLOOKUP(96,$A$24:$K$72,11,FALSE)-1)</f>
        <v>24454.86455941364</v>
      </c>
      <c r="IS91" s="11">
        <f>IS$90*$D$55/$D$47</f>
        <v>1.0944338547599712</v>
      </c>
      <c r="IT91" s="14">
        <f t="shared" si="174"/>
        <v>32833.015642799139</v>
      </c>
      <c r="IU91" s="14">
        <f t="shared" si="177"/>
        <v>301841.14575439767</v>
      </c>
      <c r="IV91" s="14">
        <f t="shared" si="178"/>
        <v>853633.13385993498</v>
      </c>
      <c r="IW91" s="14">
        <f t="shared" si="175"/>
        <v>25608.994015798049</v>
      </c>
      <c r="IX91" s="14">
        <f t="shared" si="176"/>
        <v>327450.1397701957</v>
      </c>
      <c r="IY91" s="14">
        <f>IT91*(VLOOKUP(95,$A$24:$K$72,11,FALSE)-1)</f>
        <v>84600.463781990999</v>
      </c>
      <c r="IZ91" s="11">
        <f>IZ$90*$D$54/$D$47</f>
        <v>2.8883173581386896</v>
      </c>
      <c r="JA91" s="14">
        <f t="shared" si="179"/>
        <v>86649.520744160691</v>
      </c>
      <c r="JB91" s="14">
        <f t="shared" si="182"/>
        <v>375375.68239332538</v>
      </c>
      <c r="JC91" s="14">
        <f t="shared" si="183"/>
        <v>1155468.309551578</v>
      </c>
      <c r="JD91" s="14">
        <f t="shared" si="180"/>
        <v>34664.049286547342</v>
      </c>
      <c r="JE91" s="14">
        <f t="shared" si="181"/>
        <v>410039.73167987273</v>
      </c>
      <c r="JF91" s="14">
        <f>JA91*(VLOOKUP(94,$A$24:$K$72,11,FALSE)-1)</f>
        <v>241946.95324084884</v>
      </c>
      <c r="JG91" s="11">
        <f>JG$90*$D$53/$D$47</f>
        <v>6.4236080311923764</v>
      </c>
      <c r="JH91" s="14">
        <f t="shared" si="184"/>
        <v>192708.24093577129</v>
      </c>
      <c r="JI91" s="14">
        <f t="shared" si="187"/>
        <v>455501.397231535</v>
      </c>
      <c r="JJ91" s="14">
        <f t="shared" si="188"/>
        <v>1530856.3041910424</v>
      </c>
      <c r="JK91" s="14">
        <f t="shared" si="185"/>
        <v>45925.689125731275</v>
      </c>
      <c r="JL91" s="14">
        <f t="shared" si="186"/>
        <v>501427.08635726629</v>
      </c>
      <c r="JM91" s="14">
        <f>JH91*(VLOOKUP(93,$A$24:$K$72,11,FALSE)-1)</f>
        <v>584708.90821510612</v>
      </c>
      <c r="JN91" s="11">
        <f>JN$90*$D$52/$D$47</f>
        <v>12.226062945681655</v>
      </c>
      <c r="JO91" s="14">
        <f t="shared" si="189"/>
        <v>366781.88837044965</v>
      </c>
      <c r="JP91" s="14">
        <f t="shared" si="192"/>
        <v>540531.99192593154</v>
      </c>
      <c r="JQ91" s="14">
        <f t="shared" si="193"/>
        <v>1986379.1233391985</v>
      </c>
      <c r="JR91" s="14">
        <f t="shared" si="190"/>
        <v>59591.373700175951</v>
      </c>
      <c r="JS91" s="14">
        <f t="shared" si="191"/>
        <v>600123.36562610744</v>
      </c>
      <c r="JT91" s="14">
        <f>JO91*(VLOOKUP(92,$A$24:$K$72,11,FALSE)-1)</f>
        <v>1210591.1112385311</v>
      </c>
      <c r="JU91" s="11">
        <f>JU$90*$D$51/$D$47</f>
        <v>20.181863822369206</v>
      </c>
      <c r="JV91" s="14">
        <f t="shared" si="194"/>
        <v>605455.91467107611</v>
      </c>
      <c r="JW91" s="14">
        <f t="shared" si="197"/>
        <v>631613.65028932411</v>
      </c>
      <c r="JX91" s="14">
        <f t="shared" si="198"/>
        <v>2526924.9995589009</v>
      </c>
      <c r="JY91" s="14">
        <f t="shared" si="195"/>
        <v>75807.749986767027</v>
      </c>
      <c r="JZ91" s="14">
        <f t="shared" si="196"/>
        <v>707421.40027609118</v>
      </c>
      <c r="KA91" s="14">
        <f>JV91*(VLOOKUP(91,$A$24:$K$72,11,FALSE)-1)</f>
        <v>2163436.2584440378</v>
      </c>
      <c r="KB91" s="11">
        <f>KB$90*$D$50/$D$47</f>
        <v>29.333410041399006</v>
      </c>
      <c r="KC91" s="14">
        <f t="shared" si="199"/>
        <v>880002.30124197016</v>
      </c>
      <c r="KD91" s="14">
        <f t="shared" si="202"/>
        <v>728252.23232082708</v>
      </c>
      <c r="KE91" s="14">
        <f t="shared" si="203"/>
        <v>3158536.2034965381</v>
      </c>
      <c r="KF91" s="14">
        <f t="shared" si="200"/>
        <v>94756.086104896138</v>
      </c>
      <c r="KG91" s="14">
        <f t="shared" si="201"/>
        <v>823008.31842572324</v>
      </c>
      <c r="KH91" s="14">
        <f>KC91*(VLOOKUP(90,$A$24:$K$72,11,FALSE)-1)</f>
        <v>3388749.34817268</v>
      </c>
      <c r="KI91" s="11">
        <f>KI$90*$D$49/$D$47</f>
        <v>38.243269015830172</v>
      </c>
      <c r="KJ91" s="14">
        <f t="shared" si="204"/>
        <v>1147298.0704749052</v>
      </c>
      <c r="KK91" s="14">
        <f t="shared" si="207"/>
        <v>827086.35964901641</v>
      </c>
      <c r="KL91" s="14">
        <f t="shared" si="208"/>
        <v>3886774.0647520879</v>
      </c>
      <c r="KM91" s="14">
        <f t="shared" si="205"/>
        <v>116603.22194256264</v>
      </c>
      <c r="KN91" s="14">
        <f t="shared" si="206"/>
        <v>943689.58159157902</v>
      </c>
      <c r="KO91" s="14">
        <f>KJ91*(VLOOKUP(89,$A$24:$K$72,11,FALSE)-1)</f>
        <v>4757573.2077594828</v>
      </c>
      <c r="KP91" s="11">
        <f>KP$90*$D$48/$D$47</f>
        <v>45.307310561739897</v>
      </c>
      <c r="KQ91" s="14">
        <f t="shared" si="209"/>
        <v>1359219.3168521968</v>
      </c>
      <c r="KR91" s="14">
        <f t="shared" si="212"/>
        <v>922055.58139868814</v>
      </c>
      <c r="KS91" s="14">
        <f t="shared" si="213"/>
        <v>4713846.1581446063</v>
      </c>
      <c r="KT91" s="14">
        <f t="shared" si="210"/>
        <v>141415.3847443382</v>
      </c>
      <c r="KU91" s="14">
        <f t="shared" si="211"/>
        <v>1063470.9661430262</v>
      </c>
      <c r="KV91" s="14">
        <f>KQ91*(VLOOKUP(88,$A$24:$K$72,11,FALSE)-1)</f>
        <v>6092266.9915051823</v>
      </c>
      <c r="KW91" s="11">
        <f>KW$90*$D$47/$D$47</f>
        <v>49.086968828774062</v>
      </c>
      <c r="KX91" s="14">
        <f t="shared" si="214"/>
        <v>1472609.064863222</v>
      </c>
      <c r="KY91" s="14">
        <f t="shared" si="217"/>
        <v>1014696.6009494314</v>
      </c>
      <c r="KZ91" s="14">
        <f t="shared" si="218"/>
        <v>5635896.9712225217</v>
      </c>
      <c r="LA91" s="14">
        <f t="shared" si="215"/>
        <v>169076.90913667565</v>
      </c>
      <c r="LB91" s="14">
        <f t="shared" si="216"/>
        <v>1183773.5100861071</v>
      </c>
      <c r="LC91" s="14">
        <f>KX91*(VLOOKUP(87,$A$24:$K$72,11,FALSE)-1)</f>
        <v>7122363.6301846877</v>
      </c>
      <c r="LD91" s="11">
        <f>LD$90*$D$46/$D$47</f>
        <v>49.087009348981383</v>
      </c>
      <c r="LE91" s="14">
        <f t="shared" si="219"/>
        <v>1472610.2804694416</v>
      </c>
      <c r="LF91" s="14">
        <f t="shared" ref="LF91:LF96" si="222">LG90/$G48</f>
        <v>1109565.269064012</v>
      </c>
      <c r="LG91" s="14">
        <f t="shared" ref="LG91:LG96" si="223">LG90-LF91</f>
        <v>6650599.062089893</v>
      </c>
      <c r="LH91" s="14">
        <f t="shared" si="220"/>
        <v>199517.97186269678</v>
      </c>
      <c r="LI91" s="14">
        <f t="shared" si="221"/>
        <v>1309083.2409267088</v>
      </c>
      <c r="LJ91" s="14">
        <f>LE91*(VLOOKUP(86,$A$24:$K$72,11,FALSE)-1)</f>
        <v>7631173.8038467402</v>
      </c>
      <c r="LK91" s="11">
        <f>($N90-$N91)+(LD90-LD91)+(KW90-KW91)+(KP90-KP91)+(KI90-KI91)+(KB90-KB91)+(JU90-JU91)+(JN90-JN91)+(JG90-JG91)+(IZ90-IZ91)+(IS90-IS91)+(IL90-IL91)+(IE90-IE91)+(HX90-HX91)+(HQ90-HQ91)+(HJ90-HJ91)+(HC90-HC91)+(GV90-GV91)+(GO90-GO91)+(GH90-GH91)+(GA90-GA91)+(FT90-FT91)+(FM90-FM91)+(FF90-FF91)+(EY90-EY91)+(ER90-ER91)+(EK90-EK91)+(ED90-ED91)+(DW90-DW91)+(DP90-DP91)+(DI90-DI91)+(DB90-DB91)+(CU90-CU91)+(CN90-CN91)+(CG90-CG91)+(BZ90-BZ91)+(BS90-BS91)+(BL90-BL91)+(BE90-BE91)+(AX90-AX91)+(AQ90-AQ91)+(AJ90-AJ91)+(AC90-AC91)+(V90-V91)</f>
        <v>45.680427165806208</v>
      </c>
      <c r="LL91" s="14">
        <f t="shared" ref="LL91:LL96" si="224">LK91*$B$21</f>
        <v>1370412.8149741862</v>
      </c>
      <c r="LM91" s="14">
        <f>LL$46/$G47</f>
        <v>1202130.6996132527</v>
      </c>
      <c r="LN91" s="14">
        <f>LL$46-LM91</f>
        <v>7760173.8895404898</v>
      </c>
      <c r="LO91" s="14">
        <f t="shared" ref="LO91:LO96" si="225">$B$20*LN91</f>
        <v>232805.2166862147</v>
      </c>
      <c r="LP91" s="14">
        <f t="shared" ref="LP91:LP96" si="226">LM91+LO91</f>
        <v>1434935.9162994674</v>
      </c>
      <c r="LQ91" s="14">
        <f>LL91*(VLOOKUP(85,$A$24:$K$72,11,FALSE)-1)</f>
        <v>7591891.7741795583</v>
      </c>
      <c r="NC91" s="15">
        <v>45</v>
      </c>
      <c r="ND91" s="15">
        <f>N91+V91+AC91+AJ91+AQ91+AX91+BE91+BL91+BS91+BZ91+CG91+CN91+CU91+DB91+DI91+DP91+DW91+ED91+EK91+ER91+EY91+FF91+FM91+FT91+GA91+GH91+GO91+GV91+HC91+HJ91+HQ91+HX91+IE91+IL91+IS91+IZ91+JG91+JN91+JU91+KB91+KI91+KP91+KW91+LD91+LK91</f>
        <v>299.99999999999989</v>
      </c>
      <c r="NE91" s="14">
        <f>P91+W91+AD91+AK91+AR91+AY91+BF91+BM91+BT91+CA91+CH91+CO91+CV91+DC91+DJ91+DQ91+DX91+EE91+EL91+ES91+EZ91+FG91+FN91+FU91+GB91+GI91+GP91+GW91+HD91+HK91+HR91+HY91+IF91+IM91+IT91+JA91+JH91+JO91+JV91+KC91+KJ91+KQ91+KX91+LE91+LL91</f>
        <v>8999999.9999999981</v>
      </c>
      <c r="NF91" s="14">
        <f>T91+AA91+AH91+AO91+AV91+BC91+BJ91+BQ91+BX91+CE91+CL91+CS91+CZ91+DG91+DN91+DU91+EB91+EI91+EP91+EW91+FD91+FK91+FR91+FY91+GF91+GM91+GT91+HA91+HH91+HO91+HV91+IC91+IJ91+IQ91+IX91+JE91+JL91+JS91+JZ91+KG91+KN91+KU91+LB91+LI91+LP91</f>
        <v>10214752.384792702</v>
      </c>
      <c r="NH91" s="14">
        <f>U91+AB91+AI91+AP91+AW91+BD91+BK91+BR91+BY91+CF91+CM91+CT91+DA91+DH91+DO91+DV91+EC91+EJ91+EQ91+EX91+FE91+FL91+FS91+FZ91+GG91+GN91+GU91+HB91+HI91+HP91+HW91+ID91+IK91+IR91+IY91+JF91+JM91+JT91+KA91+KH91+KO91+KV91+LC91+LJ91+LQ91</f>
        <v>40900669.021253198</v>
      </c>
      <c r="NI91" s="14">
        <f>R91+Y91+AF91+AM91+AT91+BA91+BH91+BO91+BV91+CC91+CJ91+CQ91+CX91+DE91+DL91+DS91+DZ91+EG91+EN91+EU91+FB91+FI91+FP91+FW91+GD91+GK91+GR91+GY91+HF91+HM91+HT91+IA91+IH91+IO91+IV91+JC91+JJ91+JQ91+JX91+KE91+KL91+KS91+KZ91+LG91+LN91</f>
        <v>41760889.985317975</v>
      </c>
    </row>
    <row r="92" spans="1:373" x14ac:dyDescent="0.25">
      <c r="A92" s="1"/>
      <c r="B92" s="3"/>
      <c r="FF92" s="11">
        <f>FF$91*$D$69/$D$47</f>
        <v>1.8519058516173621E-20</v>
      </c>
      <c r="FG92" s="14">
        <f t="shared" si="109"/>
        <v>5.5557175548520857E-16</v>
      </c>
      <c r="FH92" s="14">
        <f t="shared" si="112"/>
        <v>757.13844826309139</v>
      </c>
      <c r="FI92" s="14">
        <f t="shared" si="113"/>
        <v>378.56922413154564</v>
      </c>
      <c r="FJ92" s="14">
        <f t="shared" si="110"/>
        <v>11.357076723946369</v>
      </c>
      <c r="FK92" s="14">
        <f t="shared" si="111"/>
        <v>768.49552498703781</v>
      </c>
      <c r="FL92" s="14">
        <f>FG92*(VLOOKUP(109,$A$24:$K$72,11,FALSE)-1)</f>
        <v>2.6969502693456726E-16</v>
      </c>
      <c r="FM92" s="11">
        <f>FM$91*$D$68/$D$47</f>
        <v>8.086738182967622E-18</v>
      </c>
      <c r="FN92" s="14">
        <f t="shared" si="114"/>
        <v>2.4260214548902867E-13</v>
      </c>
      <c r="FO92" s="14">
        <f t="shared" si="117"/>
        <v>1482.3589843588595</v>
      </c>
      <c r="FP92" s="14">
        <f t="shared" si="118"/>
        <v>1135.7834538157583</v>
      </c>
      <c r="FQ92" s="14">
        <f t="shared" si="115"/>
        <v>34.073503614472749</v>
      </c>
      <c r="FR92" s="14">
        <f t="shared" si="116"/>
        <v>1516.4324879733322</v>
      </c>
      <c r="FS92" s="14">
        <f>FN92*(VLOOKUP(108,$A$24:$K$72,11,FALSE)-1)</f>
        <v>1.7871561801410843E-13</v>
      </c>
      <c r="FT92" s="11">
        <f>FT$91*$D$67/$D$47</f>
        <v>1.9938042207930878E-15</v>
      </c>
      <c r="FU92" s="14">
        <f t="shared" si="119"/>
        <v>5.9814126623792631E-11</v>
      </c>
      <c r="FV92" s="14">
        <f t="shared" si="122"/>
        <v>2753.0267809946231</v>
      </c>
      <c r="FW92" s="14">
        <f t="shared" si="123"/>
        <v>2618.4001924691715</v>
      </c>
      <c r="FX92" s="14">
        <f t="shared" si="120"/>
        <v>78.552005774075141</v>
      </c>
      <c r="FY92" s="14">
        <f t="shared" si="121"/>
        <v>2831.5787867686981</v>
      </c>
      <c r="FZ92" s="14">
        <f>FU92*(VLOOKUP(107,$A$24:$K$72,11,FALSE)-1)</f>
        <v>5.4308446701637064E-11</v>
      </c>
      <c r="GA92" s="11">
        <f>GA$91*$D$66/$D$47</f>
        <v>2.8962947894106169E-13</v>
      </c>
      <c r="GB92" s="14">
        <f t="shared" si="124"/>
        <v>8.6888843682318511E-9</v>
      </c>
      <c r="GC92" s="14">
        <f t="shared" si="127"/>
        <v>4876.4154827544735</v>
      </c>
      <c r="GD92" s="14">
        <f t="shared" si="128"/>
        <v>5371.8121214564762</v>
      </c>
      <c r="GE92" s="14">
        <f t="shared" si="125"/>
        <v>161.15436364369427</v>
      </c>
      <c r="GF92" s="14">
        <f t="shared" si="126"/>
        <v>5037.569846398168</v>
      </c>
      <c r="GG92" s="14">
        <f>GB92*(VLOOKUP(106,$A$24:$K$72,11,FALSE)-1)</f>
        <v>9.087312370782496E-9</v>
      </c>
      <c r="GH92" s="11">
        <f>GH$91*$D$65/$D$47</f>
        <v>2.5766324128102553E-11</v>
      </c>
      <c r="GI92" s="14">
        <f t="shared" si="129"/>
        <v>7.729897238430766E-7</v>
      </c>
      <c r="GJ92" s="14">
        <f t="shared" si="132"/>
        <v>8275.8471383849246</v>
      </c>
      <c r="GK92" s="14">
        <f t="shared" si="133"/>
        <v>10247.625816305012</v>
      </c>
      <c r="GL92" s="14">
        <f t="shared" si="130"/>
        <v>307.42877448915033</v>
      </c>
      <c r="GM92" s="14">
        <f t="shared" si="131"/>
        <v>8583.2759128740745</v>
      </c>
      <c r="GN92" s="14">
        <f>GI92*(VLOOKUP(105,$A$24:$K$72,11,FALSE)-1)</f>
        <v>9.0463641227021043E-7</v>
      </c>
      <c r="GO92" s="11">
        <f>GO$91*$D$64/$D$47</f>
        <v>1.4557942480196425E-9</v>
      </c>
      <c r="GP92" s="14">
        <f t="shared" si="134"/>
        <v>4.3673827440589272E-5</v>
      </c>
      <c r="GQ92" s="14">
        <f t="shared" si="137"/>
        <v>13525.568261641862</v>
      </c>
      <c r="GR92" s="14">
        <f t="shared" si="138"/>
        <v>18542.64009380807</v>
      </c>
      <c r="GS92" s="14">
        <f t="shared" si="135"/>
        <v>556.27920281424201</v>
      </c>
      <c r="GT92" s="14">
        <f t="shared" si="136"/>
        <v>14081.847464456103</v>
      </c>
      <c r="GU92" s="14">
        <f>GP92*(VLOOKUP(104,$A$24:$K$72,11,FALSE)-1)</f>
        <v>5.6365269158985166E-5</v>
      </c>
      <c r="GV92" s="11">
        <f>GV$91*$D$63/$D$47</f>
        <v>5.3741377007277881E-8</v>
      </c>
      <c r="GW92" s="14">
        <f t="shared" si="139"/>
        <v>1.6122413102183364E-3</v>
      </c>
      <c r="GX92" s="14">
        <f t="shared" si="142"/>
        <v>21286.053909072387</v>
      </c>
      <c r="GY92" s="14">
        <f t="shared" si="143"/>
        <v>32016.769407585332</v>
      </c>
      <c r="GZ92" s="14">
        <f t="shared" si="140"/>
        <v>960.50308222755996</v>
      </c>
      <c r="HA92" s="14">
        <f t="shared" si="141"/>
        <v>22246.556991299945</v>
      </c>
      <c r="HB92" s="14">
        <f>GW92*(VLOOKUP(103,$A$24:$K$72,11,FALSE)-1)</f>
        <v>2.2745972083258108E-3</v>
      </c>
      <c r="HC92" s="11">
        <f>HC$91*$D$62/$D$47</f>
        <v>1.3409989280314244E-6</v>
      </c>
      <c r="HD92" s="14">
        <f t="shared" si="144"/>
        <v>4.0229967840942731E-2</v>
      </c>
      <c r="HE92" s="14">
        <f t="shared" si="147"/>
        <v>32505.352681567547</v>
      </c>
      <c r="HF92" s="14">
        <f t="shared" si="148"/>
        <v>53323.363689207603</v>
      </c>
      <c r="HG92" s="14">
        <f t="shared" si="145"/>
        <v>1599.700910676228</v>
      </c>
      <c r="HH92" s="14">
        <f t="shared" si="146"/>
        <v>34105.053592243778</v>
      </c>
      <c r="HI92" s="14">
        <f>HD92*(VLOOKUP(102,$A$24:$K$72,11,FALSE)-1)</f>
        <v>6.1685986323367803E-2</v>
      </c>
      <c r="HJ92" s="11">
        <f>HJ$91*$D$61/$D$47</f>
        <v>2.3184274298452045E-5</v>
      </c>
      <c r="HK92" s="14">
        <f t="shared" si="149"/>
        <v>0.69552822895356137</v>
      </c>
      <c r="HL92" s="14">
        <f t="shared" si="152"/>
        <v>48193.455914982827</v>
      </c>
      <c r="HM92" s="14">
        <f t="shared" si="153"/>
        <v>85844.434113482479</v>
      </c>
      <c r="HN92" s="14">
        <f t="shared" si="150"/>
        <v>2575.3330234044743</v>
      </c>
      <c r="HO92" s="14">
        <f t="shared" si="151"/>
        <v>50768.788938387304</v>
      </c>
      <c r="HP92" s="14">
        <f>HK92*(VLOOKUP(101,$A$24:$K$72,11,FALSE)-1)</f>
        <v>1.1540280438557675</v>
      </c>
      <c r="HQ92" s="11">
        <f>HQ$91*$D$60/$D$47</f>
        <v>2.8471731169263219E-4</v>
      </c>
      <c r="HR92" s="14">
        <f t="shared" si="154"/>
        <v>8.541519350778966</v>
      </c>
      <c r="HS92" s="14">
        <f t="shared" si="157"/>
        <v>69548.329009896479</v>
      </c>
      <c r="HT92" s="14">
        <f t="shared" si="158"/>
        <v>134047.72476396657</v>
      </c>
      <c r="HU92" s="14">
        <f t="shared" si="155"/>
        <v>4021.4317429189969</v>
      </c>
      <c r="HV92" s="14">
        <f t="shared" si="156"/>
        <v>73569.760752815477</v>
      </c>
      <c r="HW92" s="14">
        <f>HR92*(VLOOKUP(100,$A$24:$K$72,11,FALSE)-1)</f>
        <v>15.282131316848872</v>
      </c>
      <c r="HX92" s="11">
        <f>HX$91*$D$59/$D$47</f>
        <v>2.5410937069880739E-3</v>
      </c>
      <c r="HY92" s="14">
        <f t="shared" si="159"/>
        <v>76.232811209642222</v>
      </c>
      <c r="HZ92" s="14">
        <f t="shared" si="162"/>
        <v>97901.000714066817</v>
      </c>
      <c r="IA92" s="14">
        <f t="shared" si="163"/>
        <v>203597.64012638931</v>
      </c>
      <c r="IB92" s="14">
        <f t="shared" si="160"/>
        <v>6107.9292037916794</v>
      </c>
      <c r="IC92" s="14">
        <f t="shared" si="161"/>
        <v>104008.92991785849</v>
      </c>
      <c r="ID92" s="14">
        <f>HY92*(VLOOKUP(99,$A$24:$K$72,11,FALSE)-1)</f>
        <v>146.64958780161408</v>
      </c>
      <c r="IE92" s="11">
        <f>IE$91*$D$58/$D$47</f>
        <v>1.6893254205851325E-2</v>
      </c>
      <c r="IF92" s="14">
        <f t="shared" si="164"/>
        <v>506.79762617553979</v>
      </c>
      <c r="IG92" s="14">
        <f t="shared" si="167"/>
        <v>134698.71490377415</v>
      </c>
      <c r="IH92" s="14">
        <f t="shared" si="168"/>
        <v>301492.55943172862</v>
      </c>
      <c r="II92" s="14">
        <f t="shared" si="165"/>
        <v>9044.776782951858</v>
      </c>
      <c r="IJ92" s="14">
        <f t="shared" si="166"/>
        <v>143743.49168672602</v>
      </c>
      <c r="IK92" s="14">
        <f>IF92*(VLOOKUP(98,$A$24:$K$72,11,FALSE)-1)</f>
        <v>1045.553124528067</v>
      </c>
      <c r="IL92" s="11">
        <f>IL$91*$D$57/$D$47</f>
        <v>8.5813032671854209E-2</v>
      </c>
      <c r="IM92" s="14">
        <f t="shared" si="169"/>
        <v>2574.390980155626</v>
      </c>
      <c r="IN92" s="14">
        <f t="shared" si="172"/>
        <v>180823.06019749542</v>
      </c>
      <c r="IO92" s="14">
        <f t="shared" si="173"/>
        <v>436179.56032598577</v>
      </c>
      <c r="IP92" s="14">
        <f t="shared" si="170"/>
        <v>13085.386809779573</v>
      </c>
      <c r="IQ92" s="14">
        <f t="shared" si="171"/>
        <v>193908.44700727498</v>
      </c>
      <c r="IR92" s="14">
        <f>IM92*(VLOOKUP(97,$A$24:$K$72,11,FALSE)-1)</f>
        <v>5702.8314859715147</v>
      </c>
      <c r="IS92" s="11">
        <f>IS$91*$D$56/$D$47</f>
        <v>0.34175257671479287</v>
      </c>
      <c r="IT92" s="14">
        <f t="shared" si="174"/>
        <v>10252.577301443785</v>
      </c>
      <c r="IU92" s="14">
        <f t="shared" si="177"/>
        <v>236643.45827144777</v>
      </c>
      <c r="IV92" s="14">
        <f t="shared" si="178"/>
        <v>616989.67558848718</v>
      </c>
      <c r="IW92" s="14">
        <f t="shared" si="175"/>
        <v>18509.690267654616</v>
      </c>
      <c r="IX92" s="14">
        <f t="shared" si="176"/>
        <v>255153.1485391024</v>
      </c>
      <c r="IY92" s="14">
        <f>IT92*(VLOOKUP(96,$A$24:$K$72,11,FALSE)-1)</f>
        <v>24454.351487634904</v>
      </c>
      <c r="IZ92" s="11">
        <f>IZ$91*$D$55/$D$47</f>
        <v>1.0944282000786787</v>
      </c>
      <c r="JA92" s="14">
        <f t="shared" si="179"/>
        <v>32832.846002360362</v>
      </c>
      <c r="JB92" s="14">
        <f t="shared" si="182"/>
        <v>301839.58621247287</v>
      </c>
      <c r="JC92" s="14">
        <f t="shared" si="183"/>
        <v>853628.72333910514</v>
      </c>
      <c r="JD92" s="14">
        <f t="shared" si="180"/>
        <v>25608.861700173155</v>
      </c>
      <c r="JE92" s="14">
        <f t="shared" si="181"/>
        <v>327448.44791264605</v>
      </c>
      <c r="JF92" s="14">
        <f>JA92*(VLOOKUP(95,$A$24:$K$72,11,FALSE)-1)</f>
        <v>84600.02667137183</v>
      </c>
      <c r="JG92" s="11">
        <f>JG$91*$D$54/$D$47</f>
        <v>2.888340588248631</v>
      </c>
      <c r="JH92" s="14">
        <f t="shared" si="184"/>
        <v>86650.217647458936</v>
      </c>
      <c r="JI92" s="14">
        <f t="shared" si="187"/>
        <v>375378.70145850809</v>
      </c>
      <c r="JJ92" s="14">
        <f t="shared" si="188"/>
        <v>1155477.6027325343</v>
      </c>
      <c r="JK92" s="14">
        <f t="shared" si="185"/>
        <v>34664.328081976026</v>
      </c>
      <c r="JL92" s="14">
        <f t="shared" si="186"/>
        <v>410043.02954048413</v>
      </c>
      <c r="JM92" s="14">
        <f>JH92*(VLOOKUP(94,$A$24:$K$72,11,FALSE)-1)</f>
        <v>241948.8991677076</v>
      </c>
      <c r="JN92" s="11">
        <f>JN$91*$D$53/$D$47</f>
        <v>6.423677306728985</v>
      </c>
      <c r="JO92" s="14">
        <f t="shared" si="189"/>
        <v>192710.31920186954</v>
      </c>
      <c r="JP92" s="14">
        <f t="shared" si="192"/>
        <v>455506.30959598237</v>
      </c>
      <c r="JQ92" s="14">
        <f t="shared" si="193"/>
        <v>1530872.8137432162</v>
      </c>
      <c r="JR92" s="14">
        <f t="shared" si="190"/>
        <v>45926.184412296483</v>
      </c>
      <c r="JS92" s="14">
        <f t="shared" si="191"/>
        <v>501432.49400827882</v>
      </c>
      <c r="JT92" s="14">
        <f>JO92*(VLOOKUP(93,$A$24:$K$72,11,FALSE)-1)</f>
        <v>584715.21402068762</v>
      </c>
      <c r="JU92" s="11">
        <f>JU$91*$D$52/$D$47</f>
        <v>12.226130122658526</v>
      </c>
      <c r="JV92" s="14">
        <f t="shared" si="194"/>
        <v>366783.90367975581</v>
      </c>
      <c r="JW92" s="14">
        <f t="shared" si="197"/>
        <v>540534.96191760362</v>
      </c>
      <c r="JX92" s="14">
        <f t="shared" si="198"/>
        <v>1986390.0376412973</v>
      </c>
      <c r="JY92" s="14">
        <f t="shared" si="195"/>
        <v>59591.701129238914</v>
      </c>
      <c r="JZ92" s="14">
        <f t="shared" si="196"/>
        <v>600126.66304684256</v>
      </c>
      <c r="KA92" s="14">
        <f>JV92*(VLOOKUP(92,$A$24:$K$72,11,FALSE)-1)</f>
        <v>1210597.7629179345</v>
      </c>
      <c r="KB92" s="11">
        <f>KB$91*$D$51/$D$47</f>
        <v>20.181848191109946</v>
      </c>
      <c r="KC92" s="14">
        <f t="shared" si="199"/>
        <v>605455.44573329843</v>
      </c>
      <c r="KD92" s="14">
        <f t="shared" si="202"/>
        <v>631613.16109185328</v>
      </c>
      <c r="KE92" s="14">
        <f t="shared" si="203"/>
        <v>2526923.0424046847</v>
      </c>
      <c r="KF92" s="14">
        <f t="shared" si="200"/>
        <v>75807.691272140539</v>
      </c>
      <c r="KG92" s="14">
        <f t="shared" si="201"/>
        <v>707420.85236399388</v>
      </c>
      <c r="KH92" s="14">
        <f>KC92*(VLOOKUP(91,$A$24:$K$72,11,FALSE)-1)</f>
        <v>2163434.5828191633</v>
      </c>
      <c r="KI92" s="11">
        <f>KI$91*$D$50/$D$47</f>
        <v>29.333301583643355</v>
      </c>
      <c r="KJ92" s="14">
        <f t="shared" si="204"/>
        <v>879999.04750930064</v>
      </c>
      <c r="KK92" s="14">
        <f t="shared" si="207"/>
        <v>728249.539670959</v>
      </c>
      <c r="KL92" s="14">
        <f t="shared" si="208"/>
        <v>3158524.5250811288</v>
      </c>
      <c r="KM92" s="14">
        <f t="shared" si="205"/>
        <v>94755.735752433859</v>
      </c>
      <c r="KN92" s="14">
        <f t="shared" si="206"/>
        <v>823005.27542339289</v>
      </c>
      <c r="KO92" s="14">
        <f>KJ92*(VLOOKUP(90,$A$24:$K$72,11,FALSE)-1)</f>
        <v>3388736.8185640103</v>
      </c>
      <c r="KP92" s="11">
        <f>KP$91*$D$49/$D$47</f>
        <v>38.243153274540376</v>
      </c>
      <c r="KQ92" s="14">
        <f t="shared" si="209"/>
        <v>1147294.5982362113</v>
      </c>
      <c r="KR92" s="14">
        <f t="shared" si="212"/>
        <v>827083.85651462327</v>
      </c>
      <c r="KS92" s="14">
        <f t="shared" si="213"/>
        <v>3886762.3016299829</v>
      </c>
      <c r="KT92" s="14">
        <f t="shared" si="210"/>
        <v>116602.86904889948</v>
      </c>
      <c r="KU92" s="14">
        <f t="shared" si="211"/>
        <v>943686.72556352278</v>
      </c>
      <c r="KV92" s="14">
        <f>KQ92*(VLOOKUP(89,$A$24:$K$72,11,FALSE)-1)</f>
        <v>4757558.8092084825</v>
      </c>
      <c r="KW92" s="11">
        <f>KW$91*$D$48/$D$47</f>
        <v>45.30727222895846</v>
      </c>
      <c r="KX92" s="14">
        <f t="shared" si="214"/>
        <v>1359218.1668687537</v>
      </c>
      <c r="KY92" s="14">
        <f t="shared" si="217"/>
        <v>922054.80128274823</v>
      </c>
      <c r="KZ92" s="14">
        <f t="shared" si="218"/>
        <v>4713842.1699397732</v>
      </c>
      <c r="LA92" s="14">
        <f t="shared" si="215"/>
        <v>141415.26509819319</v>
      </c>
      <c r="LB92" s="14">
        <f t="shared" si="216"/>
        <v>1063470.0663809413</v>
      </c>
      <c r="LC92" s="14">
        <f>KX92*(VLOOKUP(88,$A$24:$K$72,11,FALSE)-1)</f>
        <v>6092261.8370712483</v>
      </c>
      <c r="LD92" s="11">
        <f>LD$91*$D$47/$D$47</f>
        <v>49.087009348981383</v>
      </c>
      <c r="LE92" s="14">
        <f t="shared" si="219"/>
        <v>1472610.2804694416</v>
      </c>
      <c r="LF92" s="14">
        <f t="shared" si="222"/>
        <v>1014697.438559039</v>
      </c>
      <c r="LG92" s="14">
        <f t="shared" si="223"/>
        <v>5635901.6235308535</v>
      </c>
      <c r="LH92" s="14">
        <f t="shared" si="220"/>
        <v>169077.04870592561</v>
      </c>
      <c r="LI92" s="14">
        <f t="shared" si="221"/>
        <v>1183774.4872649647</v>
      </c>
      <c r="LJ92" s="14">
        <f>LE92*(VLOOKUP(87,$A$24:$K$72,11,FALSE)-1)</f>
        <v>7122369.5095383693</v>
      </c>
      <c r="LK92" s="11">
        <f>LK$91*$D$46/$D$47</f>
        <v>49.087069810666456</v>
      </c>
      <c r="LL92" s="14">
        <f t="shared" si="224"/>
        <v>1472612.0943199936</v>
      </c>
      <c r="LM92" s="14">
        <f>LN91/$G48</f>
        <v>1109566.635743032</v>
      </c>
      <c r="LN92" s="14">
        <f>LN91-LM92</f>
        <v>6650607.2537974576</v>
      </c>
      <c r="LO92" s="14">
        <f t="shared" si="225"/>
        <v>199518.21761392371</v>
      </c>
      <c r="LP92" s="14">
        <f t="shared" si="226"/>
        <v>1309084.8533569556</v>
      </c>
      <c r="LQ92" s="14">
        <f>LL92*(VLOOKUP(86,$A$24:$K$72,11,FALSE)-1)</f>
        <v>7631183.2033525025</v>
      </c>
      <c r="LR92" s="11">
        <f>($N91-$N92)+(LK91-LK92)+(LD91-LD92)+(KW91-KW92)+(KP91-KP92)+(KI91-KI92)+(KB91-KB92)+(JU91-JU92)+(JN91-JN92)+(JG91-JG92)+(IZ91-IZ92)+(IS91-IS92)+(IL91-IL92)+(IE91-IE92)+(HX91-HX92)+(HQ91-HQ92)+(HJ91-HJ92)+(HC91-HC92)+(GV91-GV92)+(GO91-GO92)+(GH91-GH92)+(GA91-GA92)+(FT91-FT92)+(FM91-FM92)+(FF91-FF92)+(EY91-EY92)+(ER91-ER92)+(EK91-EK92)+(ED91-ED92)+(DW91-DW92)+(DP91-DP92)+(DI91-DI92)+(DB91-DB92)+(CU91-CU92)+(CN91-CN92)+(CG91-CG92)+(BZ91-BZ92)+(BS91-BS92)+(BL91-BL92)+(BE91-BE92)+(AX91-AX92)+(AQ91-AQ92)+(AJ91-AJ92)+(AC91-AC92)+(V91-V92)</f>
        <v>45.680460089277467</v>
      </c>
      <c r="LS92" s="14">
        <f>LR92*$B$21</f>
        <v>1370413.802678324</v>
      </c>
      <c r="LT92" s="14">
        <f>LS$46/$G47</f>
        <v>1202131.5660306232</v>
      </c>
      <c r="LU92" s="14">
        <f>LS$46-LT92</f>
        <v>7760179.4825674854</v>
      </c>
      <c r="LV92" s="14">
        <f>$B$20*LU92</f>
        <v>232805.38447702455</v>
      </c>
      <c r="LW92" s="14">
        <f>LT92+LV92</f>
        <v>1434936.9505076478</v>
      </c>
      <c r="LX92" s="14">
        <f>LS92*(VLOOKUP(85,$A$24:$K$72,11,FALSE)-1)</f>
        <v>7591897.2459197799</v>
      </c>
      <c r="NC92" s="15">
        <v>46</v>
      </c>
      <c r="ND92" s="15">
        <f>N92+V92+AC92+AJ92+AQ92+AX92+BE92+BL92+BS92+BZ92+CG92+CN92+CU92+DB92+DI92+DP92+DW92+ED92+EK92+ER92+EY92+FF92+FM92+FT92+GA92+GH92+GO92+GV92+HC92+HJ92+HQ92+HX92+IE92+IL92+IS92+IZ92+JG92+JN92+JU92+KB92+KI92+KP92+KW92+LD92+LK92+LR92</f>
        <v>299.99999999999994</v>
      </c>
      <c r="NE92" s="14">
        <f>P92+W92+AD92+AK92+AR92+AY92+BF92+BM92+BT92+CA92+CH92+CO92+CV92+DC92+DJ92+DQ92+DX92+EE92+EL92+ES92+EZ92+FG92+FN92+FU92+GB92+GI92+GP92+GW92+HD92+HK92+HR92+HY92+IF92+IM92+IT92+JA92+JH92+JO92+JV92+KC92+KJ92+KQ92+KX92+LE92+LL92+LS92</f>
        <v>8999999.9999999963</v>
      </c>
      <c r="NF92" s="14">
        <f>T92+AA92+AH92+AO92+AV92+BC92+BJ92+BQ92+BX92+CE92+CL92+CS92+CZ92+DG92+DN92+DU92+EB92+EI92+EP92+EW92+FD92+FK92+FR92+FY92+GF92+GM92+GT92+HA92+HH92+HO92+HV92+IC92+IJ92+IQ92+IX92+JE92+JL92+JS92+JZ92+KG92+KN92+KU92+LB92+LI92+LP92+LW92</f>
        <v>10214753.222818837</v>
      </c>
      <c r="NH92" s="14">
        <f>U92+AB92+AI92+AP92+AW92+BD92+BK92+BR92+BY92+CF92+CM92+CT92+DA92+DH92+DO92+DV92+EC92+EJ92+EQ92+EX92+FE92+FL92+FS92+FZ92+GG92+GN92+GU92+HB92+HI92+HP92+HW92+ID92+IK92+IR92+IY92+JF92+JM92+JT92+KA92+KH92+KO92+KV92+LC92+LJ92+LQ92+LX92</f>
        <v>40900669.79511442</v>
      </c>
      <c r="NI92" s="14">
        <f>R92+Y92+AF92+AM92+AT92+BA92+BH92+BO92+BV92+CC92+CJ92+CQ92+CX92+DE92+DL92+DS92+DZ92+EG92+EN92+EU92+FB92+FI92+FP92+FW92+GD92+GK92+GR92+GY92+HF92+HM92+HT92+IA92+IH92+IO92+IV92+JC92+JJ92+JQ92+JX92+KE92+KL92+KS92+KZ92+LG92+LN92+LU92</f>
        <v>41760896.134756342</v>
      </c>
    </row>
    <row r="93" spans="1:373" x14ac:dyDescent="0.25">
      <c r="A93" s="1"/>
      <c r="B93" s="3"/>
      <c r="FM93" s="11">
        <f>FM$92*$D$69/$D$47</f>
        <v>1.8520294221986219E-20</v>
      </c>
      <c r="FN93" s="14">
        <f t="shared" si="114"/>
        <v>5.5560882665958662E-16</v>
      </c>
      <c r="FO93" s="14">
        <f t="shared" si="117"/>
        <v>757.18896921050555</v>
      </c>
      <c r="FP93" s="14">
        <f t="shared" si="118"/>
        <v>378.59448460525277</v>
      </c>
      <c r="FQ93" s="14">
        <f t="shared" si="115"/>
        <v>11.357834538157583</v>
      </c>
      <c r="FR93" s="14">
        <f t="shared" si="116"/>
        <v>768.54680374866314</v>
      </c>
      <c r="FS93" s="14">
        <f>FN93*(VLOOKUP(109,$A$24:$K$72,11,FALSE)-1)</f>
        <v>2.6971302265028475E-16</v>
      </c>
      <c r="FT93" s="11">
        <f>FT$92*$D$68/$D$47</f>
        <v>8.0875343166940389E-18</v>
      </c>
      <c r="FU93" s="14">
        <f t="shared" si="119"/>
        <v>2.4262602950082116E-13</v>
      </c>
      <c r="FV93" s="14">
        <f t="shared" si="122"/>
        <v>1482.5049215656049</v>
      </c>
      <c r="FW93" s="14">
        <f t="shared" si="123"/>
        <v>1135.8952709035666</v>
      </c>
      <c r="FX93" s="14">
        <f t="shared" si="120"/>
        <v>34.076858127106995</v>
      </c>
      <c r="FY93" s="14">
        <f t="shared" si="121"/>
        <v>1516.581779692712</v>
      </c>
      <c r="FZ93" s="14">
        <f>FU93*(VLOOKUP(108,$A$24:$K$72,11,FALSE)-1)</f>
        <v>1.7873321244188872E-13</v>
      </c>
      <c r="GA93" s="11">
        <f>GA$92*$D$67/$D$47</f>
        <v>1.9939471827466343E-15</v>
      </c>
      <c r="GB93" s="14">
        <f t="shared" si="124"/>
        <v>5.9818415482399031E-11</v>
      </c>
      <c r="GC93" s="14">
        <f t="shared" si="127"/>
        <v>2753.2241815631755</v>
      </c>
      <c r="GD93" s="14">
        <f t="shared" si="128"/>
        <v>2618.5879398933007</v>
      </c>
      <c r="GE93" s="14">
        <f t="shared" si="125"/>
        <v>78.557638196799019</v>
      </c>
      <c r="GF93" s="14">
        <f t="shared" si="126"/>
        <v>2831.7818197599745</v>
      </c>
      <c r="GG93" s="14">
        <f>GB93*(VLOOKUP(107,$A$24:$K$72,11,FALSE)-1)</f>
        <v>5.4312340785897487E-11</v>
      </c>
      <c r="GH93" s="11">
        <f>GH$92*$D$66/$D$47</f>
        <v>2.8961247155945753E-13</v>
      </c>
      <c r="GI93" s="14">
        <f t="shared" si="129"/>
        <v>8.6883741467837257E-9</v>
      </c>
      <c r="GJ93" s="14">
        <f t="shared" si="132"/>
        <v>4876.1291339363961</v>
      </c>
      <c r="GK93" s="14">
        <f t="shared" si="133"/>
        <v>5371.4966823686154</v>
      </c>
      <c r="GL93" s="14">
        <f t="shared" si="130"/>
        <v>161.14490047105846</v>
      </c>
      <c r="GM93" s="14">
        <f t="shared" si="131"/>
        <v>5037.2740344074546</v>
      </c>
      <c r="GN93" s="14">
        <f>GI93*(VLOOKUP(106,$A$24:$K$72,11,FALSE)-1)</f>
        <v>9.0867787531762647E-9</v>
      </c>
      <c r="GO93" s="11">
        <f>GO$92*$D$65/$D$47</f>
        <v>2.5792985797884098E-11</v>
      </c>
      <c r="GP93" s="14">
        <f t="shared" si="134"/>
        <v>7.7378957393652291E-7</v>
      </c>
      <c r="GQ93" s="14">
        <f t="shared" si="137"/>
        <v>8284.410560255641</v>
      </c>
      <c r="GR93" s="14">
        <f t="shared" si="138"/>
        <v>10258.229533552429</v>
      </c>
      <c r="GS93" s="14">
        <f t="shared" si="135"/>
        <v>307.74688600657282</v>
      </c>
      <c r="GT93" s="14">
        <f t="shared" si="136"/>
        <v>8592.1574462622139</v>
      </c>
      <c r="GU93" s="14">
        <f>GP93*(VLOOKUP(105,$A$24:$K$72,11,FALSE)-1)</f>
        <v>9.0557248360022998E-7</v>
      </c>
      <c r="GV93" s="11">
        <f>GV$92*$D$64/$D$47</f>
        <v>1.4534590840592667E-9</v>
      </c>
      <c r="GW93" s="14">
        <f t="shared" si="139"/>
        <v>4.3603772521778002E-5</v>
      </c>
      <c r="GX93" s="14">
        <f t="shared" si="142"/>
        <v>13503.872599915521</v>
      </c>
      <c r="GY93" s="14">
        <f t="shared" si="143"/>
        <v>18512.896807669811</v>
      </c>
      <c r="GZ93" s="14">
        <f t="shared" si="140"/>
        <v>555.38690423009427</v>
      </c>
      <c r="HA93" s="14">
        <f t="shared" si="141"/>
        <v>14059.259504145615</v>
      </c>
      <c r="HB93" s="14">
        <f>GW93*(VLOOKUP(104,$A$24:$K$72,11,FALSE)-1)</f>
        <v>5.6274856557523122E-5</v>
      </c>
      <c r="HC93" s="11">
        <f>HC$92*$D$63/$D$47</f>
        <v>5.3762086377558686E-8</v>
      </c>
      <c r="HD93" s="14">
        <f t="shared" si="144"/>
        <v>1.6128625913267606E-3</v>
      </c>
      <c r="HE93" s="14">
        <f t="shared" si="147"/>
        <v>21294.2565416949</v>
      </c>
      <c r="HF93" s="14">
        <f t="shared" si="148"/>
        <v>32029.107147512703</v>
      </c>
      <c r="HG93" s="14">
        <f t="shared" si="145"/>
        <v>960.87321442538109</v>
      </c>
      <c r="HH93" s="14">
        <f t="shared" si="146"/>
        <v>22255.129756120281</v>
      </c>
      <c r="HI93" s="14">
        <f>HD93*(VLOOKUP(103,$A$24:$K$72,11,FALSE)-1)</f>
        <v>2.2754737298898288E-3</v>
      </c>
      <c r="HJ93" s="11">
        <f>HJ$92*$D$62/$D$47</f>
        <v>1.3412445040695239E-6</v>
      </c>
      <c r="HK93" s="14">
        <f t="shared" si="149"/>
        <v>4.0237335122085716E-2</v>
      </c>
      <c r="HL93" s="14">
        <f t="shared" si="152"/>
        <v>32511.305360247406</v>
      </c>
      <c r="HM93" s="14">
        <f t="shared" si="153"/>
        <v>53333.128753235069</v>
      </c>
      <c r="HN93" s="14">
        <f t="shared" si="150"/>
        <v>1599.9938625970519</v>
      </c>
      <c r="HO93" s="14">
        <f t="shared" si="151"/>
        <v>34111.299222844456</v>
      </c>
      <c r="HP93" s="14">
        <f>HK93*(VLOOKUP(102,$A$24:$K$72,11,FALSE)-1)</f>
        <v>6.1697282827645993E-2</v>
      </c>
      <c r="HQ93" s="11">
        <f>HQ$92*$D$61/$D$47</f>
        <v>2.3185975393608519E-5</v>
      </c>
      <c r="HR93" s="14">
        <f t="shared" si="154"/>
        <v>0.69557926180825558</v>
      </c>
      <c r="HS93" s="14">
        <f t="shared" si="157"/>
        <v>48196.992003858257</v>
      </c>
      <c r="HT93" s="14">
        <f t="shared" si="158"/>
        <v>85850.732760108309</v>
      </c>
      <c r="HU93" s="14">
        <f t="shared" si="155"/>
        <v>2575.5219828032491</v>
      </c>
      <c r="HV93" s="14">
        <f t="shared" si="156"/>
        <v>50772.513986661506</v>
      </c>
      <c r="HW93" s="14">
        <f>HR93*(VLOOKUP(101,$A$24:$K$72,11,FALSE)-1)</f>
        <v>1.1541127181263771</v>
      </c>
      <c r="HX93" s="11">
        <f>HX$92*$D$60/$D$47</f>
        <v>2.8471953011493601E-4</v>
      </c>
      <c r="HY93" s="14">
        <f t="shared" si="159"/>
        <v>8.5415859034480803</v>
      </c>
      <c r="HZ93" s="14">
        <f t="shared" si="162"/>
        <v>69548.870907273056</v>
      </c>
      <c r="IA93" s="14">
        <f t="shared" si="163"/>
        <v>134048.76921911625</v>
      </c>
      <c r="IB93" s="14">
        <f t="shared" si="160"/>
        <v>4021.4630765734873</v>
      </c>
      <c r="IC93" s="14">
        <f t="shared" si="161"/>
        <v>73570.333983846547</v>
      </c>
      <c r="ID93" s="14">
        <f>HY93*(VLOOKUP(100,$A$24:$K$72,11,FALSE)-1)</f>
        <v>15.282250390117587</v>
      </c>
      <c r="IE93" s="11">
        <f>IE$92*$D$59/$D$47</f>
        <v>2.5410424516013057E-3</v>
      </c>
      <c r="IF93" s="14">
        <f t="shared" si="164"/>
        <v>76.231273548039169</v>
      </c>
      <c r="IG93" s="14">
        <f t="shared" si="167"/>
        <v>97899.025992063049</v>
      </c>
      <c r="IH93" s="14">
        <f t="shared" si="168"/>
        <v>203593.53343966557</v>
      </c>
      <c r="II93" s="14">
        <f t="shared" si="165"/>
        <v>6107.8060031899668</v>
      </c>
      <c r="IJ93" s="14">
        <f t="shared" si="166"/>
        <v>104006.83199525301</v>
      </c>
      <c r="IK93" s="14">
        <f>IF93*(VLOOKUP(99,$A$24:$K$72,11,FALSE)-1)</f>
        <v>146.64662979132052</v>
      </c>
      <c r="IL93" s="11">
        <f>IL$92*$D$58/$D$47</f>
        <v>1.6892800533913829E-2</v>
      </c>
      <c r="IM93" s="14">
        <f t="shared" si="169"/>
        <v>506.7840160174149</v>
      </c>
      <c r="IN93" s="14">
        <f t="shared" si="172"/>
        <v>134695.09754111434</v>
      </c>
      <c r="IO93" s="14">
        <f t="shared" si="173"/>
        <v>301484.46278487146</v>
      </c>
      <c r="IP93" s="14">
        <f t="shared" si="170"/>
        <v>9044.5338835461425</v>
      </c>
      <c r="IQ93" s="14">
        <f t="shared" si="171"/>
        <v>143739.63142466047</v>
      </c>
      <c r="IR93" s="14">
        <f>IM93*(VLOOKUP(98,$A$24:$K$72,11,FALSE)-1)</f>
        <v>1045.5250459763574</v>
      </c>
      <c r="IS93" s="11">
        <f>IS$92*$D$57/$D$47</f>
        <v>8.5811232283828975E-2</v>
      </c>
      <c r="IT93" s="14">
        <f t="shared" si="174"/>
        <v>2574.3369685148691</v>
      </c>
      <c r="IU93" s="14">
        <f t="shared" si="177"/>
        <v>180819.26646521324</v>
      </c>
      <c r="IV93" s="14">
        <f t="shared" si="178"/>
        <v>436170.40912327392</v>
      </c>
      <c r="IW93" s="14">
        <f t="shared" si="175"/>
        <v>13085.112273698216</v>
      </c>
      <c r="IX93" s="14">
        <f t="shared" si="176"/>
        <v>193904.37873891144</v>
      </c>
      <c r="IY93" s="14">
        <f>IT93*(VLOOKUP(97,$A$24:$K$72,11,FALSE)-1)</f>
        <v>5702.7118385333852</v>
      </c>
      <c r="IZ93" s="11">
        <f>IZ$92*$D$56/$D$47</f>
        <v>0.34175081095992899</v>
      </c>
      <c r="JA93" s="14">
        <f t="shared" si="179"/>
        <v>10252.52432879787</v>
      </c>
      <c r="JB93" s="14">
        <f t="shared" si="182"/>
        <v>236642.23559057873</v>
      </c>
      <c r="JC93" s="14">
        <f t="shared" si="183"/>
        <v>616986.48774852639</v>
      </c>
      <c r="JD93" s="14">
        <f t="shared" si="180"/>
        <v>18509.594632455792</v>
      </c>
      <c r="JE93" s="14">
        <f t="shared" si="181"/>
        <v>255151.83022303451</v>
      </c>
      <c r="JF93" s="14">
        <f>JA93*(VLOOKUP(96,$A$24:$K$72,11,FALSE)-1)</f>
        <v>24454.225137775316</v>
      </c>
      <c r="JG93" s="11">
        <f>JG$92*$D$55/$D$47</f>
        <v>1.0944370023272749</v>
      </c>
      <c r="JH93" s="14">
        <f t="shared" si="184"/>
        <v>32833.110069818249</v>
      </c>
      <c r="JI93" s="14">
        <f t="shared" si="187"/>
        <v>301842.01384278625</v>
      </c>
      <c r="JJ93" s="14">
        <f t="shared" si="188"/>
        <v>853635.58888974809</v>
      </c>
      <c r="JK93" s="14">
        <f t="shared" si="185"/>
        <v>25609.067666692441</v>
      </c>
      <c r="JL93" s="14">
        <f t="shared" si="186"/>
        <v>327451.08150947868</v>
      </c>
      <c r="JM93" s="14">
        <f>JH93*(VLOOKUP(95,$A$24:$K$72,11,FALSE)-1)</f>
        <v>84600.707091033866</v>
      </c>
      <c r="JN93" s="11">
        <f>JN$92*$D$54/$D$47</f>
        <v>2.888371737618765</v>
      </c>
      <c r="JO93" s="14">
        <f t="shared" si="189"/>
        <v>86651.152128562942</v>
      </c>
      <c r="JP93" s="14">
        <f t="shared" si="192"/>
        <v>375382.74973804923</v>
      </c>
      <c r="JQ93" s="14">
        <f t="shared" si="193"/>
        <v>1155490.064005167</v>
      </c>
      <c r="JR93" s="14">
        <f t="shared" si="190"/>
        <v>34664.701920155007</v>
      </c>
      <c r="JS93" s="14">
        <f t="shared" si="191"/>
        <v>410047.45165820426</v>
      </c>
      <c r="JT93" s="14">
        <f>JO93*(VLOOKUP(94,$A$24:$K$72,11,FALSE)-1)</f>
        <v>241951.50847072547</v>
      </c>
      <c r="JU93" s="11">
        <f>JU$92*$D$53/$D$47</f>
        <v>6.423712602083163</v>
      </c>
      <c r="JV93" s="14">
        <f t="shared" si="194"/>
        <v>192711.37806249488</v>
      </c>
      <c r="JW93" s="14">
        <f t="shared" si="197"/>
        <v>455508.81240796449</v>
      </c>
      <c r="JX93" s="14">
        <f t="shared" si="198"/>
        <v>1530881.2252333327</v>
      </c>
      <c r="JY93" s="14">
        <f t="shared" si="195"/>
        <v>45926.436756999981</v>
      </c>
      <c r="JZ93" s="14">
        <f t="shared" si="196"/>
        <v>501435.24916496448</v>
      </c>
      <c r="KA93" s="14">
        <f>JV93*(VLOOKUP(93,$A$24:$K$72,11,FALSE)-1)</f>
        <v>584718.42678023118</v>
      </c>
      <c r="KB93" s="11">
        <f>KB$92*$D$52/$D$47</f>
        <v>12.226120653274956</v>
      </c>
      <c r="KC93" s="14">
        <f t="shared" si="199"/>
        <v>366783.61959824868</v>
      </c>
      <c r="KD93" s="14">
        <f t="shared" si="202"/>
        <v>540534.54326240811</v>
      </c>
      <c r="KE93" s="14">
        <f t="shared" si="203"/>
        <v>1986388.4991422766</v>
      </c>
      <c r="KF93" s="14">
        <f t="shared" si="200"/>
        <v>59591.654974268298</v>
      </c>
      <c r="KG93" s="14">
        <f t="shared" si="201"/>
        <v>600126.1982366764</v>
      </c>
      <c r="KH93" s="14">
        <f>KC93*(VLOOKUP(92,$A$24:$K$72,11,FALSE)-1)</f>
        <v>1210596.8252856296</v>
      </c>
      <c r="KI93" s="11">
        <f>KI$92*$D$51/$D$47</f>
        <v>20.181773570465548</v>
      </c>
      <c r="KJ93" s="14">
        <f t="shared" si="204"/>
        <v>605453.20711396646</v>
      </c>
      <c r="KK93" s="14">
        <f t="shared" si="207"/>
        <v>631610.82575662271</v>
      </c>
      <c r="KL93" s="14">
        <f t="shared" si="208"/>
        <v>2526913.6993245063</v>
      </c>
      <c r="KM93" s="14">
        <f t="shared" si="205"/>
        <v>75807.410979735185</v>
      </c>
      <c r="KN93" s="14">
        <f t="shared" si="206"/>
        <v>707418.23673635791</v>
      </c>
      <c r="KO93" s="14">
        <f>KJ93*(VLOOKUP(91,$A$24:$K$72,11,FALSE)-1)</f>
        <v>2163426.5837062397</v>
      </c>
      <c r="KP93" s="11">
        <f>KP$92*$D$50/$D$47</f>
        <v>29.333212807912442</v>
      </c>
      <c r="KQ93" s="14">
        <f t="shared" si="209"/>
        <v>879996.38423737325</v>
      </c>
      <c r="KR93" s="14">
        <f t="shared" si="212"/>
        <v>728247.33566112584</v>
      </c>
      <c r="KS93" s="14">
        <f t="shared" si="213"/>
        <v>3158514.9659688571</v>
      </c>
      <c r="KT93" s="14">
        <f t="shared" si="210"/>
        <v>94755.44897906571</v>
      </c>
      <c r="KU93" s="14">
        <f t="shared" si="211"/>
        <v>823002.78464019159</v>
      </c>
      <c r="KV93" s="14">
        <f>KQ93*(VLOOKUP(90,$A$24:$K$72,11,FALSE)-1)</f>
        <v>3388726.5627260483</v>
      </c>
      <c r="KW93" s="11">
        <f>KW$92*$D$49/$D$47</f>
        <v>38.243120918472052</v>
      </c>
      <c r="KX93" s="14">
        <f t="shared" si="214"/>
        <v>1147293.6275541615</v>
      </c>
      <c r="KY93" s="14">
        <f t="shared" si="217"/>
        <v>827083.15675062512</v>
      </c>
      <c r="KZ93" s="14">
        <f t="shared" si="218"/>
        <v>3886759.0131891482</v>
      </c>
      <c r="LA93" s="14">
        <f t="shared" si="215"/>
        <v>116602.77039567444</v>
      </c>
      <c r="LB93" s="14">
        <f t="shared" si="216"/>
        <v>943685.92714629951</v>
      </c>
      <c r="LC93" s="14">
        <f>KX93*(VLOOKUP(89,$A$24:$K$72,11,FALSE)-1)</f>
        <v>4757554.7840200569</v>
      </c>
      <c r="LD93" s="11">
        <f>LD$92*$D$48/$D$47</f>
        <v>45.30730962910981</v>
      </c>
      <c r="LE93" s="14">
        <f t="shared" si="219"/>
        <v>1359219.2888732944</v>
      </c>
      <c r="LF93" s="14">
        <f t="shared" si="222"/>
        <v>922055.5624185988</v>
      </c>
      <c r="LG93" s="14">
        <f t="shared" si="223"/>
        <v>4713846.0611122549</v>
      </c>
      <c r="LH93" s="14">
        <f t="shared" si="220"/>
        <v>141415.38183336763</v>
      </c>
      <c r="LI93" s="14">
        <f t="shared" si="221"/>
        <v>1063470.9442519664</v>
      </c>
      <c r="LJ93" s="14">
        <f>LE93*(VLOOKUP(88,$A$24:$K$72,11,FALSE)-1)</f>
        <v>6092266.8660986777</v>
      </c>
      <c r="LK93" s="11">
        <f>LK$92*$D$47/$D$47</f>
        <v>49.087069810666456</v>
      </c>
      <c r="LL93" s="14">
        <f t="shared" si="224"/>
        <v>1472612.0943199936</v>
      </c>
      <c r="LM93" s="14">
        <f>LN92/$G49</f>
        <v>1014698.6883870028</v>
      </c>
      <c r="LN93" s="14">
        <f>LN92-LM93</f>
        <v>5635908.5654104548</v>
      </c>
      <c r="LO93" s="14">
        <f t="shared" si="225"/>
        <v>169077.25696231364</v>
      </c>
      <c r="LP93" s="14">
        <f t="shared" si="226"/>
        <v>1183775.9453493163</v>
      </c>
      <c r="LQ93" s="14">
        <f>LL93*(VLOOKUP(87,$A$24:$K$72,11,FALSE)-1)</f>
        <v>7122378.2823372819</v>
      </c>
      <c r="LR93" s="11">
        <f>LR$92*$D$46/$D$47</f>
        <v>49.087105189423447</v>
      </c>
      <c r="LS93" s="14">
        <f>LR93*$B$21</f>
        <v>1472613.1556827035</v>
      </c>
      <c r="LT93" s="14">
        <f>LU92/$G48</f>
        <v>1109567.4354462649</v>
      </c>
      <c r="LU93" s="14">
        <f>LU92-LT93</f>
        <v>6650612.0471212203</v>
      </c>
      <c r="LV93" s="14">
        <f>$B$20*LU93</f>
        <v>199518.36141363659</v>
      </c>
      <c r="LW93" s="14">
        <f>LT93+LV93</f>
        <v>1309085.7968599014</v>
      </c>
      <c r="LX93" s="14">
        <f>LS93*(VLOOKUP(86,$A$24:$K$72,11,FALSE)-1)</f>
        <v>7631188.7034114217</v>
      </c>
      <c r="LY93" s="11">
        <f>($N92-$N93)+(LR92-LR93)+(LK92-LK93)+(LD92-LD93)+(KW92-KW93)+(KP92-KP93)+(KI92-KI93)+(KB92-KB93)+(JU92-JU93)+(JN92-JN93)+(JG92-JG93)+(IZ92-IZ93)+(IS92-IS93)+(IL92-IL93)+(IE92-IE93)+(HX92-HX93)+(HQ92-HQ93)+(HJ92-HJ93)+(HC92-HC93)+(GV92-GV93)+(GO92-GO93)+(GH92-GH93)+(GA92-GA93)+(FT92-FT93)+(FM92-FM93)+(FF92-FF93)+(EY92-EY93)+(ER92-ER93)+(EK92-EK93)+(ED92-ED93)+(DW92-DW93)+(DP92-DP93)+(DI92-DI93)+(DB92-DB93)+(CU92-CU93)+(CN92-CN93)+(CG92-CG93)+(BZ92-BZ93)+(BS92-BS93)+(BL92-BL93)+(BE92-BE93)+(AX92-AX93)+(AQ92-AQ93)+(AJ92-AJ93)+(AC92-AC93)+(V92-V93)</f>
        <v>45.680460890425067</v>
      </c>
      <c r="LZ93" s="14">
        <f>LY93*$B$21</f>
        <v>1370413.826712752</v>
      </c>
      <c r="MA93" s="14">
        <f>LZ$46/$G47</f>
        <v>1202131.5871137041</v>
      </c>
      <c r="MB93" s="14">
        <f>LZ$46-MA93</f>
        <v>7760179.6186661422</v>
      </c>
      <c r="MC93" s="14">
        <f>$B$20*MB93</f>
        <v>232805.38855998425</v>
      </c>
      <c r="MD93" s="14">
        <f>MA93+MC93</f>
        <v>1434936.9756736883</v>
      </c>
      <c r="ME93" s="14">
        <f>LZ93*(VLOOKUP(85,$A$24:$K$72,11,FALSE)-1)</f>
        <v>7591897.3790670866</v>
      </c>
      <c r="NC93" s="15">
        <v>47</v>
      </c>
      <c r="ND93" s="15">
        <f>N93+V93+AC93+AJ93+AQ93+AX93+BE93+BL93+BS93+BZ93+CG93+CN93+CU93+DB93+DI93+DP93+DW93+ED93+EK93+ER93+EY93+FF93+FM93+FT93+GA93+GH93+GO93+GV93+HC93+HJ93+HQ93+HX93+IE93+IL93+IS93+IZ93+JG93+JN93+JU93+KB93+KI93+KP93+KW93+LD93+LK93+LR93+LY93</f>
        <v>299.99999999999994</v>
      </c>
      <c r="NE93" s="14">
        <f>P93+W93+AD93+AK93+AR93+AY93+BF93+BM93+BT93+CA93+CH93+CO93+CV93+DC93+DJ93+DQ93+DX93+EE93+EL93+ES93+EZ93+FG93+FN93+FU93+GB93+GI93+GP93+GW93+HD93+HK93+HR93+HY93+IF93+IM93+IT93+JA93+JH93+JO93+JV93+KC93+KJ93+KQ93+KX93+LE93+LL93+LS93+LZ93</f>
        <v>8999999.9999999963</v>
      </c>
      <c r="NF93" s="14">
        <f>T93+AA93+AH93+AO93+AV93+BC93+BJ93+BQ93+BX93+CE93+CL93+CS93+CZ93+DG93+DN93+DU93+EB93+EI93+EP93+EW93+FD93+FK93+FR93+FY93+GF93+GM93+GT93+HA93+HH93+HO93+HV93+IC93+IJ93+IQ93+IX93+JE93+JL93+JS93+JZ93+KG93+KN93+KU93+LB93+LI93+LP93+LW93+MD93</f>
        <v>10214754.141946396</v>
      </c>
      <c r="NH93" s="14">
        <f>U93+AB93+AI93+AP93+AW93+BD93+BK93+BR93+BY93+CF93+CM93+CT93+DA93+DH93+DO93+DV93+EC93+EJ93+EQ93+EX93+FE93+FL93+FS93+FZ93+GG93+GN93+GU93+HB93+HI93+HP93+HW93+ID93+IK93+IR93+IY93+JF93+JM93+JT93+KA93+KH93+KO93+KV93+LC93+LJ93+LQ93+LX93+ME93</f>
        <v>40900672.238039568</v>
      </c>
      <c r="NI93" s="14">
        <f>R93+Y93+AF93+AM93+AT93+BA93+BH93+BO93+BV93+CC93+CJ93+CQ93+CX93+DE93+DL93+DS93+DZ93+EG93+EN93+EU93+FB93+FI93+FP93+FW93+GD93+GK93+GR93+GY93+HF93+HM93+HT93+IA93+IH93+IO93+IV93+JC93+JJ93+JQ93+JX93+KE93+KL93+KS93+KZ93+LG93+LN93+LU93+MB93</f>
        <v>41760901.679758415</v>
      </c>
    </row>
    <row r="94" spans="1:373" x14ac:dyDescent="0.25">
      <c r="A94" s="1"/>
      <c r="B94" s="3"/>
      <c r="FT94" s="11">
        <f>FT$93*$D$69/$D$47</f>
        <v>1.8522117532017989E-20</v>
      </c>
      <c r="FU94" s="14">
        <f t="shared" si="119"/>
        <v>5.5566352596053971E-16</v>
      </c>
      <c r="FV94" s="14">
        <f t="shared" si="122"/>
        <v>757.2635139357111</v>
      </c>
      <c r="FW94" s="14">
        <f t="shared" si="123"/>
        <v>378.63175696785549</v>
      </c>
      <c r="FX94" s="14">
        <f t="shared" si="120"/>
        <v>11.358952709035664</v>
      </c>
      <c r="FY94" s="14">
        <f t="shared" si="121"/>
        <v>768.62246664474674</v>
      </c>
      <c r="FZ94" s="14">
        <f>FU94*(VLOOKUP(109,$A$24:$K$72,11,FALSE)-1)</f>
        <v>2.6973957570899988E-16</v>
      </c>
      <c r="GA94" s="11">
        <f>GA$93*$D$68/$D$47</f>
        <v>8.0881142180169617E-18</v>
      </c>
      <c r="GB94" s="14">
        <f t="shared" si="124"/>
        <v>2.4264342654050885E-13</v>
      </c>
      <c r="GC94" s="14">
        <f t="shared" si="127"/>
        <v>1482.6112217717703</v>
      </c>
      <c r="GD94" s="14">
        <f t="shared" si="128"/>
        <v>1135.9767181215304</v>
      </c>
      <c r="GE94" s="14">
        <f t="shared" si="125"/>
        <v>34.079301543645911</v>
      </c>
      <c r="GF94" s="14">
        <f t="shared" si="126"/>
        <v>1516.6905233154162</v>
      </c>
      <c r="GG94" s="14">
        <f>GB94*(VLOOKUP(108,$A$24:$K$72,11,FALSE)-1)</f>
        <v>1.7874602816820118E-13</v>
      </c>
      <c r="GH94" s="11">
        <f>GH$93*$D$67/$D$47</f>
        <v>1.9938300958369754E-15</v>
      </c>
      <c r="GI94" s="14">
        <f t="shared" si="129"/>
        <v>5.9814902875109264E-11</v>
      </c>
      <c r="GJ94" s="14">
        <f t="shared" si="132"/>
        <v>2753.0625090204894</v>
      </c>
      <c r="GK94" s="14">
        <f t="shared" si="133"/>
        <v>2618.434173348126</v>
      </c>
      <c r="GL94" s="14">
        <f t="shared" si="130"/>
        <v>78.553025200443784</v>
      </c>
      <c r="GM94" s="14">
        <f t="shared" si="131"/>
        <v>2831.6155342209331</v>
      </c>
      <c r="GN94" s="14">
        <f>GI94*(VLOOKUP(107,$A$24:$K$72,11,FALSE)-1)</f>
        <v>5.4309151501750956E-11</v>
      </c>
      <c r="GO94" s="11">
        <f>GO$93*$D$66/$D$47</f>
        <v>2.899121476810085E-13</v>
      </c>
      <c r="GP94" s="14">
        <f t="shared" si="134"/>
        <v>8.6973644304302546E-9</v>
      </c>
      <c r="GQ94" s="14">
        <f t="shared" si="137"/>
        <v>4881.1747021026231</v>
      </c>
      <c r="GR94" s="14">
        <f t="shared" si="138"/>
        <v>5377.0548314498055</v>
      </c>
      <c r="GS94" s="14">
        <f t="shared" si="135"/>
        <v>161.31164494349417</v>
      </c>
      <c r="GT94" s="14">
        <f t="shared" si="136"/>
        <v>5042.4863470461169</v>
      </c>
      <c r="GU94" s="14">
        <f>GP94*(VLOOKUP(106,$A$24:$K$72,11,FALSE)-1)</f>
        <v>9.0961812854618416E-9</v>
      </c>
      <c r="GV94" s="11">
        <f>GV$93*$D$65/$D$47</f>
        <v>2.5751612608679902E-11</v>
      </c>
      <c r="GW94" s="14">
        <f t="shared" si="139"/>
        <v>7.7254837826039705E-7</v>
      </c>
      <c r="GX94" s="14">
        <f t="shared" si="142"/>
        <v>8271.1219674482563</v>
      </c>
      <c r="GY94" s="14">
        <f t="shared" si="143"/>
        <v>10241.774840221555</v>
      </c>
      <c r="GZ94" s="14">
        <f t="shared" si="140"/>
        <v>307.25324520664662</v>
      </c>
      <c r="HA94" s="14">
        <f t="shared" si="141"/>
        <v>8578.3752126549025</v>
      </c>
      <c r="HB94" s="14">
        <f>GW94*(VLOOKUP(105,$A$24:$K$72,11,FALSE)-1)</f>
        <v>9.0411990180160862E-7</v>
      </c>
      <c r="HC94" s="11">
        <f>HC$93*$D$64/$D$47</f>
        <v>1.4540191780508239E-9</v>
      </c>
      <c r="HD94" s="14">
        <f t="shared" si="144"/>
        <v>4.362057534152472E-5</v>
      </c>
      <c r="HE94" s="14">
        <f t="shared" si="147"/>
        <v>13509.076350051242</v>
      </c>
      <c r="HF94" s="14">
        <f t="shared" si="148"/>
        <v>18520.030797461462</v>
      </c>
      <c r="HG94" s="14">
        <f t="shared" si="145"/>
        <v>555.60092392384388</v>
      </c>
      <c r="HH94" s="14">
        <f t="shared" si="146"/>
        <v>14064.677273975087</v>
      </c>
      <c r="HI94" s="14">
        <f>HD94*(VLOOKUP(104,$A$24:$K$72,11,FALSE)-1)</f>
        <v>5.6296542210307778E-5</v>
      </c>
      <c r="HJ94" s="11">
        <f>HJ$93*$D$63/$D$47</f>
        <v>5.3771931784513592E-8</v>
      </c>
      <c r="HK94" s="14">
        <f t="shared" si="149"/>
        <v>1.6131579535354078E-3</v>
      </c>
      <c r="HL94" s="14">
        <f t="shared" si="152"/>
        <v>21298.156141498075</v>
      </c>
      <c r="HM94" s="14">
        <f t="shared" si="153"/>
        <v>32034.972611736994</v>
      </c>
      <c r="HN94" s="14">
        <f t="shared" si="150"/>
        <v>961.04917835210972</v>
      </c>
      <c r="HO94" s="14">
        <f t="shared" si="151"/>
        <v>22259.205319850185</v>
      </c>
      <c r="HP94" s="14">
        <f>HK94*(VLOOKUP(103,$A$24:$K$72,11,FALSE)-1)</f>
        <v>2.2758904355349302E-3</v>
      </c>
      <c r="HQ94" s="11">
        <f>HQ$93*$D$62/$D$47</f>
        <v>1.3413429149363102E-6</v>
      </c>
      <c r="HR94" s="14">
        <f t="shared" si="154"/>
        <v>4.0240287448089308E-2</v>
      </c>
      <c r="HS94" s="14">
        <f t="shared" si="157"/>
        <v>32513.690805802769</v>
      </c>
      <c r="HT94" s="14">
        <f t="shared" si="158"/>
        <v>53337.04195430554</v>
      </c>
      <c r="HU94" s="14">
        <f t="shared" si="155"/>
        <v>1600.1112586291661</v>
      </c>
      <c r="HV94" s="14">
        <f t="shared" si="156"/>
        <v>34113.802064431933</v>
      </c>
      <c r="HW94" s="14">
        <f>HR94*(VLOOKUP(102,$A$24:$K$72,11,FALSE)-1)</f>
        <v>6.1701809730133207E-2</v>
      </c>
      <c r="HX94" s="11">
        <f>HX$93*$D$61/$D$47</f>
        <v>2.318615605099336E-5</v>
      </c>
      <c r="HY94" s="14">
        <f t="shared" si="159"/>
        <v>0.6955846815298008</v>
      </c>
      <c r="HZ94" s="14">
        <f t="shared" si="162"/>
        <v>48197.367538740225</v>
      </c>
      <c r="IA94" s="14">
        <f t="shared" si="163"/>
        <v>85851.401680376031</v>
      </c>
      <c r="IB94" s="14">
        <f t="shared" si="160"/>
        <v>2575.5420504112808</v>
      </c>
      <c r="IC94" s="14">
        <f t="shared" si="161"/>
        <v>50772.909589151503</v>
      </c>
      <c r="ID94" s="14">
        <f>HY94*(VLOOKUP(101,$A$24:$K$72,11,FALSE)-1)</f>
        <v>1.1541217105876356</v>
      </c>
      <c r="IE94" s="11">
        <f>IE$93*$D$60/$D$47</f>
        <v>2.8471378715095306E-4</v>
      </c>
      <c r="IF94" s="14">
        <f t="shared" si="164"/>
        <v>8.5414136145285919</v>
      </c>
      <c r="IG94" s="14">
        <f t="shared" si="167"/>
        <v>69547.468064761575</v>
      </c>
      <c r="IH94" s="14">
        <f t="shared" si="168"/>
        <v>134046.06537490399</v>
      </c>
      <c r="II94" s="14">
        <f t="shared" si="165"/>
        <v>4021.3819612471198</v>
      </c>
      <c r="IJ94" s="14">
        <f t="shared" si="166"/>
        <v>73568.850026008702</v>
      </c>
      <c r="IK94" s="14">
        <f>IF94*(VLOOKUP(100,$A$24:$K$72,11,FALSE)-1)</f>
        <v>15.281942137945588</v>
      </c>
      <c r="IL94" s="11">
        <f>IL$93*$D$59/$D$47</f>
        <v>2.5409742113653966E-3</v>
      </c>
      <c r="IM94" s="14">
        <f t="shared" si="169"/>
        <v>76.229226340961901</v>
      </c>
      <c r="IN94" s="14">
        <f t="shared" si="172"/>
        <v>97896.396892881923</v>
      </c>
      <c r="IO94" s="14">
        <f t="shared" si="173"/>
        <v>203588.06589198954</v>
      </c>
      <c r="IP94" s="14">
        <f t="shared" si="170"/>
        <v>6107.6419767596863</v>
      </c>
      <c r="IQ94" s="14">
        <f t="shared" si="171"/>
        <v>104004.0388696416</v>
      </c>
      <c r="IR94" s="14">
        <f>IM94*(VLOOKUP(99,$A$24:$K$72,11,FALSE)-1)</f>
        <v>146.64269156486313</v>
      </c>
      <c r="IS94" s="11">
        <f>IS$93*$D$58/$D$47</f>
        <v>1.6892446116934884E-2</v>
      </c>
      <c r="IT94" s="14">
        <f t="shared" si="174"/>
        <v>506.77338350804649</v>
      </c>
      <c r="IU94" s="14">
        <f t="shared" si="177"/>
        <v>134692.27158993733</v>
      </c>
      <c r="IV94" s="14">
        <f t="shared" si="178"/>
        <v>301478.13753333659</v>
      </c>
      <c r="IW94" s="14">
        <f t="shared" si="175"/>
        <v>9044.3441260000964</v>
      </c>
      <c r="IX94" s="14">
        <f t="shared" si="176"/>
        <v>143736.61571593743</v>
      </c>
      <c r="IY94" s="14">
        <f>IT94*(VLOOKUP(98,$A$24:$K$72,11,FALSE)-1)</f>
        <v>1045.5031104880727</v>
      </c>
      <c r="IZ94" s="11">
        <f>IZ$93*$D$57/$D$47</f>
        <v>8.5810788917454861E-2</v>
      </c>
      <c r="JA94" s="14">
        <f t="shared" si="179"/>
        <v>2574.3236675236458</v>
      </c>
      <c r="JB94" s="14">
        <f t="shared" si="182"/>
        <v>180818.33221476121</v>
      </c>
      <c r="JC94" s="14">
        <f t="shared" si="183"/>
        <v>436168.15553376521</v>
      </c>
      <c r="JD94" s="14">
        <f t="shared" si="180"/>
        <v>13085.044666012956</v>
      </c>
      <c r="JE94" s="14">
        <f t="shared" si="181"/>
        <v>193903.37688077416</v>
      </c>
      <c r="JF94" s="14">
        <f>JA94*(VLOOKUP(97,$A$24:$K$72,11,FALSE)-1)</f>
        <v>5702.6823739679303</v>
      </c>
      <c r="JG94" s="11">
        <f>JG$93*$D$56/$D$47</f>
        <v>0.34175355958756476</v>
      </c>
      <c r="JH94" s="14">
        <f t="shared" si="184"/>
        <v>10252.606787626943</v>
      </c>
      <c r="JI94" s="14">
        <f t="shared" si="187"/>
        <v>236644.13885274445</v>
      </c>
      <c r="JJ94" s="14">
        <f t="shared" si="188"/>
        <v>616991.45003700361</v>
      </c>
      <c r="JK94" s="14">
        <f t="shared" si="185"/>
        <v>18509.743501110108</v>
      </c>
      <c r="JL94" s="14">
        <f t="shared" si="186"/>
        <v>255153.88235385457</v>
      </c>
      <c r="JM94" s="14">
        <f>JH94*(VLOOKUP(96,$A$24:$K$72,11,FALSE)-1)</f>
        <v>24454.421817803188</v>
      </c>
      <c r="JN94" s="11">
        <f>JN$93*$D$55/$D$47</f>
        <v>1.0944488053062631</v>
      </c>
      <c r="JO94" s="14">
        <f t="shared" si="189"/>
        <v>32833.46415918789</v>
      </c>
      <c r="JP94" s="14">
        <f t="shared" si="192"/>
        <v>301845.2690643653</v>
      </c>
      <c r="JQ94" s="14">
        <f t="shared" si="193"/>
        <v>853644.79494080169</v>
      </c>
      <c r="JR94" s="14">
        <f t="shared" si="190"/>
        <v>25609.343848224049</v>
      </c>
      <c r="JS94" s="14">
        <f t="shared" si="191"/>
        <v>327454.61291258933</v>
      </c>
      <c r="JT94" s="14">
        <f>JO94*(VLOOKUP(95,$A$24:$K$72,11,FALSE)-1)</f>
        <v>84601.619469147947</v>
      </c>
      <c r="JU94" s="11">
        <f>JU$93*$D$54/$D$47</f>
        <v>2.8883876079837614</v>
      </c>
      <c r="JV94" s="14">
        <f t="shared" si="194"/>
        <v>86651.628239512836</v>
      </c>
      <c r="JW94" s="14">
        <f t="shared" si="197"/>
        <v>375384.81230540358</v>
      </c>
      <c r="JX94" s="14">
        <f t="shared" si="198"/>
        <v>1155496.4129279291</v>
      </c>
      <c r="JY94" s="14">
        <f t="shared" si="195"/>
        <v>34664.89238783787</v>
      </c>
      <c r="JZ94" s="14">
        <f t="shared" si="196"/>
        <v>410049.70469324145</v>
      </c>
      <c r="KA94" s="14">
        <f>JV94*(VLOOKUP(94,$A$24:$K$72,11,FALSE)-1)</f>
        <v>241952.83789058542</v>
      </c>
      <c r="KB94" s="11">
        <f>KB$93*$D$53/$D$47</f>
        <v>6.4237076267886124</v>
      </c>
      <c r="KC94" s="14">
        <f t="shared" si="199"/>
        <v>192711.22880365836</v>
      </c>
      <c r="KD94" s="14">
        <f t="shared" si="202"/>
        <v>455508.4596072312</v>
      </c>
      <c r="KE94" s="14">
        <f t="shared" si="203"/>
        <v>1530880.0395350454</v>
      </c>
      <c r="KF94" s="14">
        <f t="shared" si="200"/>
        <v>45926.401186051356</v>
      </c>
      <c r="KG94" s="14">
        <f t="shared" si="201"/>
        <v>501434.86079328257</v>
      </c>
      <c r="KH94" s="14">
        <f>KC94*(VLOOKUP(93,$A$24:$K$72,11,FALSE)-1)</f>
        <v>584717.97390405461</v>
      </c>
      <c r="KI94" s="11">
        <f>KI$93*$D$52/$D$47</f>
        <v>12.226075448247498</v>
      </c>
      <c r="KJ94" s="14">
        <f t="shared" si="204"/>
        <v>366782.26344742492</v>
      </c>
      <c r="KK94" s="14">
        <f t="shared" si="207"/>
        <v>540532.54468251776</v>
      </c>
      <c r="KL94" s="14">
        <f t="shared" si="208"/>
        <v>1986381.1546419887</v>
      </c>
      <c r="KM94" s="14">
        <f t="shared" si="205"/>
        <v>59591.434639259656</v>
      </c>
      <c r="KN94" s="14">
        <f t="shared" si="206"/>
        <v>600123.97932177747</v>
      </c>
      <c r="KO94" s="14">
        <f>KJ94*(VLOOKUP(92,$A$24:$K$72,11,FALSE)-1)</f>
        <v>1210592.3492081983</v>
      </c>
      <c r="KP94" s="11">
        <f>KP$93*$D$51/$D$47</f>
        <v>20.181712491364216</v>
      </c>
      <c r="KQ94" s="14">
        <f t="shared" si="209"/>
        <v>605451.37474092643</v>
      </c>
      <c r="KR94" s="14">
        <f t="shared" si="212"/>
        <v>631608.91421889432</v>
      </c>
      <c r="KS94" s="14">
        <f t="shared" si="213"/>
        <v>2526906.0517499628</v>
      </c>
      <c r="KT94" s="14">
        <f t="shared" si="210"/>
        <v>75807.181552498878</v>
      </c>
      <c r="KU94" s="14">
        <f t="shared" si="211"/>
        <v>707416.09577139316</v>
      </c>
      <c r="KV94" s="14">
        <f>KQ94*(VLOOKUP(91,$A$24:$K$72,11,FALSE)-1)</f>
        <v>2163420.0362067805</v>
      </c>
      <c r="KW94" s="11">
        <f>KW$93*$D$50/$D$47</f>
        <v>29.33318799020374</v>
      </c>
      <c r="KX94" s="14">
        <f t="shared" si="214"/>
        <v>879995.63970611221</v>
      </c>
      <c r="KY94" s="14">
        <f t="shared" si="217"/>
        <v>728246.71951892565</v>
      </c>
      <c r="KZ94" s="14">
        <f t="shared" si="218"/>
        <v>3158512.2936702226</v>
      </c>
      <c r="LA94" s="14">
        <f t="shared" si="215"/>
        <v>94755.36881010668</v>
      </c>
      <c r="LB94" s="14">
        <f t="shared" si="216"/>
        <v>823002.0883290323</v>
      </c>
      <c r="LC94" s="14">
        <f>KX94*(VLOOKUP(90,$A$24:$K$72,11,FALSE)-1)</f>
        <v>3388723.6956541985</v>
      </c>
      <c r="LD94" s="11">
        <f>LD$93*$D$49/$D$47</f>
        <v>38.243152487322703</v>
      </c>
      <c r="LE94" s="14">
        <f t="shared" si="219"/>
        <v>1147294.5746196811</v>
      </c>
      <c r="LF94" s="14">
        <f t="shared" si="222"/>
        <v>827083.83948948304</v>
      </c>
      <c r="LG94" s="14">
        <f t="shared" si="223"/>
        <v>3886762.2216227716</v>
      </c>
      <c r="LH94" s="14">
        <f t="shared" si="220"/>
        <v>116602.86664868315</v>
      </c>
      <c r="LI94" s="14">
        <f t="shared" si="221"/>
        <v>943686.70613816613</v>
      </c>
      <c r="LJ94" s="14">
        <f>LE94*(VLOOKUP(89,$A$24:$K$72,11,FALSE)-1)</f>
        <v>4757558.7112763282</v>
      </c>
      <c r="LK94" s="11">
        <f>LK$93*$D$48/$D$47</f>
        <v>45.307365435245131</v>
      </c>
      <c r="LL94" s="14">
        <f t="shared" si="224"/>
        <v>1359220.9630573539</v>
      </c>
      <c r="LM94" s="14">
        <f>LN93/$G50</f>
        <v>922056.69813726947</v>
      </c>
      <c r="LN94" s="14">
        <f>LN93-LM94</f>
        <v>4713851.8672731854</v>
      </c>
      <c r="LO94" s="14">
        <f t="shared" si="225"/>
        <v>141415.55601819555</v>
      </c>
      <c r="LP94" s="14">
        <f t="shared" si="226"/>
        <v>1063472.2541554649</v>
      </c>
      <c r="LQ94" s="14">
        <f>LL94*(VLOOKUP(88,$A$24:$K$72,11,FALSE)-1)</f>
        <v>6092274.3700946532</v>
      </c>
      <c r="LR94" s="11">
        <f>LR$93*$D$47/$D$47</f>
        <v>49.087105189423447</v>
      </c>
      <c r="LS94" s="14">
        <f>LR94*$B$21</f>
        <v>1472613.1556827035</v>
      </c>
      <c r="LT94" s="14">
        <f>LU93/$G49</f>
        <v>1014699.4197156092</v>
      </c>
      <c r="LU94" s="14">
        <f>LU93-LT94</f>
        <v>5635912.6274056109</v>
      </c>
      <c r="LV94" s="14">
        <f>$B$20*LU94</f>
        <v>169077.37882216831</v>
      </c>
      <c r="LW94" s="14">
        <f>LT94+LV94</f>
        <v>1183776.7985377775</v>
      </c>
      <c r="LX94" s="14">
        <f>LS94*(VLOOKUP(87,$A$24:$K$72,11,FALSE)-1)</f>
        <v>7122383.4156828141</v>
      </c>
      <c r="LY94" s="11">
        <f>LY$93*$D$46/$D$47</f>
        <v>49.087106050317068</v>
      </c>
      <c r="LZ94" s="14">
        <f>LY94*$B$21</f>
        <v>1472613.181509512</v>
      </c>
      <c r="MA94" s="14">
        <f>MB93/$G48</f>
        <v>1109567.4549059484</v>
      </c>
      <c r="MB94" s="14">
        <f>MB93-MA94</f>
        <v>6650612.1637601936</v>
      </c>
      <c r="MC94" s="14">
        <f>$B$20*MB94</f>
        <v>199518.36491280579</v>
      </c>
      <c r="MD94" s="14">
        <f>MA94+MC94</f>
        <v>1309085.8198187542</v>
      </c>
      <c r="ME94" s="14">
        <f>LZ94*(VLOOKUP(86,$A$24:$K$72,11,FALSE)-1)</f>
        <v>7631188.8372478262</v>
      </c>
      <c r="MF94" s="11">
        <f>($N93-$N94)+(LY93-LY94)+(LR93-LR94)+(LK93-LK94)+(LD93-LD94)+(KW93-KW94)+(KP93-KP94)+(KI93-KI94)+(KB93-KB94)+(JU93-JU94)+(JN93-JN94)+(JG93-JG94)+(IZ93-IZ94)+(IS93-IS94)+(IL93-IL94)+(IE93-IE94)+(HX93-HX94)+(HQ93-HQ94)+(HJ93-HJ94)+(HC93-HC94)+(GV93-GV94)+(GO93-GO94)+(GH93-GH94)+(GA93-GA94)+(FT93-FT94)+(FM93-FM94)+(FF93-FF94)+(EY93-EY94)+(ER93-ER94)+(EK93-EK94)+(ED93-ED94)+(DW93-DW94)+(DP93-DP94)+(DI93-DI94)+(DB93-DB94)+(CU93-CU94)+(CN93-CN94)+(CG93-CG94)+(BZ93-BZ94)+(BS93-BS94)+(BL93-BL94)+(BE93-BE94)+(AX93-AX94)+(AQ93-AQ94)+(AJ93-AJ94)+(AC93-AC94)+(V93-V94)</f>
        <v>45.680443802426019</v>
      </c>
      <c r="MG94" s="14">
        <f>MF94*$B$21</f>
        <v>1370413.3140727805</v>
      </c>
      <c r="MH94" s="14">
        <f>MG$46/$G47</f>
        <v>1202131.1374242068</v>
      </c>
      <c r="MI94" s="14">
        <f>MG$46-MH94</f>
        <v>7760176.7157632429</v>
      </c>
      <c r="MJ94" s="14">
        <f>$B$20*MI94</f>
        <v>232805.30147289729</v>
      </c>
      <c r="MK94" s="14">
        <f>MH94+MJ94</f>
        <v>1434936.438897104</v>
      </c>
      <c r="ML94" s="14">
        <f>MG94*(VLOOKUP(85,$A$24:$K$72,11,FALSE)-1)</f>
        <v>7591894.5391146727</v>
      </c>
      <c r="NC94" s="15">
        <v>48</v>
      </c>
      <c r="ND94" s="15">
        <f>N94+V94+AC94+AJ94+AQ94+AX94+BE94+BL94+BS94+BZ94+CG94+CN94+CU94+DB94+DI94+DP94+DW94+ED94+EK94+ER94+EY94+FF94+FM94+FT94+GA94+GH94+GO94+GV94+HC94+HJ94+HQ94+HX94+IE94+IL94+IS94+IZ94+JG94+JN94+JU94+KB94+KI94+KP94+KW94+LD94+LK94+LR94+LY94+MF94</f>
        <v>299.99999999999989</v>
      </c>
      <c r="NE94" s="14">
        <f>P94+W94+AD94+AK94+AR94+AY94+BF94+BM94+BT94+CA94+CH94+CO94+CV94+DC94+DJ94+DQ94+DX94+EE94+EL94+ES94+EZ94+FG94+FN94+FU94+GB94+GI94+GP94+GW94+HD94+HK94+HR94+HY94+IF94+IM94+IT94+JA94+JH94+JO94+JV94+KC94+KJ94+KQ94+KX94+LE94+LL94+LS94+LZ94+MG94</f>
        <v>8999999.9999999963</v>
      </c>
      <c r="NF94" s="14">
        <f>T94+AA94+AH94+AO94+AV94+BC94+BJ94+BQ94+BX94+CE94+CL94+CS94+CZ94+DG94+DN94+DU94+EB94+EI94+EP94+EW94+FD94+FK94+FR94+FY94+GF94+GM94+GT94+HA94+HH94+HO94+HV94+IC94+IJ94+IQ94+IX94+JE94+JL94+JS94+JZ94+KG94+KN94+KU94+LB94+LI94+LP94+LW94+MD94+MK94</f>
        <v>10214754.50754609</v>
      </c>
      <c r="NH94" s="14">
        <f>U94+AB94+AI94+AP94+AW94+BD94+BK94+BR94+BY94+CF94+CM94+CT94+DA94+DH94+DO94+DV94+EC94+EJ94+EQ94+EX94+FE94+FL94+FS94+FZ94+GG94+GN94+GU94+HB94+HI94+HP94+HW94+ID94+IK94+IR94+IY94+JF94+JM94+JT94+KA94+KH94+KO94+KV94+LC94+LJ94+LQ94+LX94+ME94+ML94</f>
        <v>40900674.135841846</v>
      </c>
      <c r="NI94" s="14">
        <f>R94+Y94+AF94+AM94+AT94+BA94+BH94+BO94+BV94+CC94+CJ94+CQ94+CX94+DE94+DL94+DS94+DZ94+EG94+EN94+EU94+FB94+FI94+FP94+FW94+GD94+GK94+GR94+GY94+HF94+HM94+HT94+IA94+IH94+IO94+IV94+JC94+JJ94+JQ94+JX94+KE94+KL94+KS94+KZ94+LG94+LN94+LU94+MB94+MI94</f>
        <v>41760903.537025943</v>
      </c>
    </row>
    <row r="95" spans="1:373" x14ac:dyDescent="0.25">
      <c r="A95" s="1"/>
      <c r="B95" s="3"/>
      <c r="GA95" s="11">
        <f>GA$94*$D$69/$D$47</f>
        <v>1.8523445625357634E-20</v>
      </c>
      <c r="GB95" s="14">
        <f t="shared" si="124"/>
        <v>5.5570336876072902E-16</v>
      </c>
      <c r="GC95" s="14">
        <f t="shared" si="127"/>
        <v>757.31781208102029</v>
      </c>
      <c r="GD95" s="14">
        <f t="shared" si="128"/>
        <v>378.65890604051015</v>
      </c>
      <c r="GE95" s="14">
        <f t="shared" si="125"/>
        <v>11.359767181215304</v>
      </c>
      <c r="GF95" s="14">
        <f t="shared" si="126"/>
        <v>768.67757926223555</v>
      </c>
      <c r="GG95" s="14">
        <f>GB95*(VLOOKUP(109,$A$24:$K$72,11,FALSE)-1)</f>
        <v>2.6975891687414031E-16</v>
      </c>
      <c r="GH95" s="11">
        <f>GH$94*$D$68/$D$47</f>
        <v>8.0876392744944097E-18</v>
      </c>
      <c r="GI95" s="14">
        <f t="shared" si="129"/>
        <v>2.4262917823483229E-13</v>
      </c>
      <c r="GJ95" s="14">
        <f t="shared" si="132"/>
        <v>1482.5241611075337</v>
      </c>
      <c r="GK95" s="14">
        <f t="shared" si="133"/>
        <v>1135.9100122405923</v>
      </c>
      <c r="GL95" s="14">
        <f t="shared" si="130"/>
        <v>34.077300367217767</v>
      </c>
      <c r="GM95" s="14">
        <f t="shared" si="131"/>
        <v>1516.6014614747514</v>
      </c>
      <c r="GN95" s="14">
        <f>GI95*(VLOOKUP(108,$A$24:$K$72,11,FALSE)-1)</f>
        <v>1.7873553199245834E-13</v>
      </c>
      <c r="GO95" s="11">
        <f>GO$94*$D$67/$D$47</f>
        <v>1.9958932088891675E-15</v>
      </c>
      <c r="GP95" s="14">
        <f t="shared" si="134"/>
        <v>5.9876796266675019E-11</v>
      </c>
      <c r="GQ95" s="14">
        <f t="shared" si="137"/>
        <v>2755.911236807141</v>
      </c>
      <c r="GR95" s="14">
        <f t="shared" si="138"/>
        <v>2621.1435946426645</v>
      </c>
      <c r="GS95" s="14">
        <f t="shared" si="135"/>
        <v>78.634307839279927</v>
      </c>
      <c r="GT95" s="14">
        <f t="shared" si="136"/>
        <v>2834.5455446464211</v>
      </c>
      <c r="GU95" s="14">
        <f>GP95*(VLOOKUP(107,$A$24:$K$72,11,FALSE)-1)</f>
        <v>5.4365347824371757E-11</v>
      </c>
      <c r="GV95" s="11">
        <f>GV$94*$D$66/$D$47</f>
        <v>2.8944711465875232E-13</v>
      </c>
      <c r="GW95" s="14">
        <f t="shared" si="139"/>
        <v>8.6834134397625689E-9</v>
      </c>
      <c r="GX95" s="14">
        <f t="shared" si="142"/>
        <v>4873.3450632205122</v>
      </c>
      <c r="GY95" s="14">
        <f t="shared" si="143"/>
        <v>5368.4297770010426</v>
      </c>
      <c r="GZ95" s="14">
        <f t="shared" si="140"/>
        <v>161.05289331003127</v>
      </c>
      <c r="HA95" s="14">
        <f t="shared" si="141"/>
        <v>5034.3979565305435</v>
      </c>
      <c r="HB95" s="14">
        <f>GW95*(VLOOKUP(106,$A$24:$K$72,11,FALSE)-1)</f>
        <v>9.0815905733857732E-9</v>
      </c>
      <c r="HC95" s="11">
        <f>HC$94*$D$65/$D$47</f>
        <v>2.5761536055203586E-11</v>
      </c>
      <c r="HD95" s="14">
        <f t="shared" si="144"/>
        <v>7.728460816561076E-7</v>
      </c>
      <c r="HE95" s="14">
        <f t="shared" si="147"/>
        <v>8274.3092644063872</v>
      </c>
      <c r="HF95" s="14">
        <f t="shared" si="148"/>
        <v>10245.721533055075</v>
      </c>
      <c r="HG95" s="14">
        <f t="shared" si="145"/>
        <v>307.37164599165226</v>
      </c>
      <c r="HH95" s="14">
        <f t="shared" si="146"/>
        <v>8581.6809103980395</v>
      </c>
      <c r="HI95" s="14">
        <f>HD95*(VLOOKUP(105,$A$24:$K$72,11,FALSE)-1)</f>
        <v>9.0446830660378033E-7</v>
      </c>
      <c r="HJ95" s="11">
        <f>HJ$94*$D$64/$D$47</f>
        <v>1.4542854513949722E-9</v>
      </c>
      <c r="HK95" s="14">
        <f t="shared" si="149"/>
        <v>4.3628563541849168E-5</v>
      </c>
      <c r="HL95" s="14">
        <f t="shared" si="152"/>
        <v>13511.550256166374</v>
      </c>
      <c r="HM95" s="14">
        <f t="shared" si="153"/>
        <v>18523.422355570619</v>
      </c>
      <c r="HN95" s="14">
        <f t="shared" si="150"/>
        <v>555.70267066711858</v>
      </c>
      <c r="HO95" s="14">
        <f t="shared" si="151"/>
        <v>14067.252926833493</v>
      </c>
      <c r="HP95" s="14">
        <f>HK95*(VLOOKUP(104,$A$24:$K$72,11,FALSE)-1)</f>
        <v>5.6306851750088692E-5</v>
      </c>
      <c r="HQ95" s="11">
        <f>HQ$94*$D$63/$D$47</f>
        <v>5.3775877181791755E-8</v>
      </c>
      <c r="HR95" s="14">
        <f t="shared" si="154"/>
        <v>1.6132763154537526E-3</v>
      </c>
      <c r="HS95" s="14">
        <f t="shared" si="157"/>
        <v>21299.718846881395</v>
      </c>
      <c r="HT95" s="14">
        <f t="shared" si="158"/>
        <v>32037.323107424145</v>
      </c>
      <c r="HU95" s="14">
        <f t="shared" si="155"/>
        <v>961.11969322272432</v>
      </c>
      <c r="HV95" s="14">
        <f t="shared" si="156"/>
        <v>22260.83854010412</v>
      </c>
      <c r="HW95" s="14">
        <f>HR95*(VLOOKUP(103,$A$24:$K$72,11,FALSE)-1)</f>
        <v>2.2760574239921376E-3</v>
      </c>
      <c r="HX95" s="11">
        <f>HX$94*$D$62/$D$47</f>
        <v>1.3413533662327977E-6</v>
      </c>
      <c r="HY95" s="14">
        <f t="shared" si="159"/>
        <v>4.0240600986983933E-2</v>
      </c>
      <c r="HZ95" s="14">
        <f t="shared" si="162"/>
        <v>32513.944141634151</v>
      </c>
      <c r="IA95" s="14">
        <f t="shared" si="163"/>
        <v>53337.457538741881</v>
      </c>
      <c r="IB95" s="14">
        <f t="shared" si="160"/>
        <v>1600.1237261622564</v>
      </c>
      <c r="IC95" s="14">
        <f t="shared" si="161"/>
        <v>34114.06786779641</v>
      </c>
      <c r="ID95" s="14">
        <f>HY95*(VLOOKUP(102,$A$24:$K$72,11,FALSE)-1)</f>
        <v>6.1702290490049348E-2</v>
      </c>
      <c r="IE95" s="11">
        <f>IE$94*$D$61/$D$47</f>
        <v>2.3185688372295484E-5</v>
      </c>
      <c r="IF95" s="14">
        <f t="shared" si="164"/>
        <v>0.69557065116886452</v>
      </c>
      <c r="IG95" s="14">
        <f t="shared" si="167"/>
        <v>48196.39536887977</v>
      </c>
      <c r="IH95" s="14">
        <f t="shared" si="168"/>
        <v>85849.670006024215</v>
      </c>
      <c r="II95" s="14">
        <f t="shared" si="165"/>
        <v>2575.4901001807261</v>
      </c>
      <c r="IJ95" s="14">
        <f t="shared" si="166"/>
        <v>50771.885469060493</v>
      </c>
      <c r="IK95" s="14">
        <f>IF95*(VLOOKUP(101,$A$24:$K$72,11,FALSE)-1)</f>
        <v>1.1540984312593325</v>
      </c>
      <c r="IL95" s="11">
        <f>IL$94*$D$60/$D$47</f>
        <v>2.8470614110159663E-4</v>
      </c>
      <c r="IM95" s="14">
        <f t="shared" si="169"/>
        <v>8.5411842330478986</v>
      </c>
      <c r="IN95" s="14">
        <f t="shared" si="172"/>
        <v>69545.600352703303</v>
      </c>
      <c r="IO95" s="14">
        <f t="shared" si="173"/>
        <v>134042.46553928623</v>
      </c>
      <c r="IP95" s="14">
        <f t="shared" si="170"/>
        <v>4021.2739661785868</v>
      </c>
      <c r="IQ95" s="14">
        <f t="shared" si="171"/>
        <v>73566.874318881892</v>
      </c>
      <c r="IR95" s="14">
        <f>IM95*(VLOOKUP(100,$A$24:$K$72,11,FALSE)-1)</f>
        <v>15.281531738136648</v>
      </c>
      <c r="IS95" s="11">
        <f>IS$94*$D$59/$D$47</f>
        <v>2.5409209008203652E-3</v>
      </c>
      <c r="IT95" s="14">
        <f t="shared" si="174"/>
        <v>76.227627024610953</v>
      </c>
      <c r="IU95" s="14">
        <f t="shared" si="177"/>
        <v>97894.34299156646</v>
      </c>
      <c r="IV95" s="14">
        <f t="shared" si="178"/>
        <v>203583.79454177013</v>
      </c>
      <c r="IW95" s="14">
        <f t="shared" si="175"/>
        <v>6107.5138362531034</v>
      </c>
      <c r="IX95" s="14">
        <f t="shared" si="176"/>
        <v>104001.85682781956</v>
      </c>
      <c r="IY95" s="14">
        <f>IT95*(VLOOKUP(99,$A$24:$K$72,11,FALSE)-1)</f>
        <v>146.6396149489033</v>
      </c>
      <c r="IZ95" s="11">
        <f>IZ$94*$D$58/$D$47</f>
        <v>1.6892358837654706E-2</v>
      </c>
      <c r="JA95" s="14">
        <f t="shared" si="179"/>
        <v>506.77076512964118</v>
      </c>
      <c r="JB95" s="14">
        <f t="shared" si="182"/>
        <v>134691.57566677564</v>
      </c>
      <c r="JC95" s="14">
        <f t="shared" si="183"/>
        <v>301476.57986698957</v>
      </c>
      <c r="JD95" s="14">
        <f t="shared" si="180"/>
        <v>9044.2973960096861</v>
      </c>
      <c r="JE95" s="14">
        <f t="shared" si="181"/>
        <v>143735.87306278531</v>
      </c>
      <c r="JF95" s="14">
        <f>JA95*(VLOOKUP(98,$A$24:$K$72,11,FALSE)-1)</f>
        <v>1045.4977086203814</v>
      </c>
      <c r="JG95" s="11">
        <f>JG$94*$D$57/$D$47</f>
        <v>8.581147907501499E-2</v>
      </c>
      <c r="JH95" s="14">
        <f t="shared" si="184"/>
        <v>2574.3443722504499</v>
      </c>
      <c r="JI95" s="14">
        <f t="shared" si="187"/>
        <v>180819.78649738204</v>
      </c>
      <c r="JJ95" s="14">
        <f t="shared" si="188"/>
        <v>436171.66353962157</v>
      </c>
      <c r="JK95" s="14">
        <f t="shared" si="185"/>
        <v>13085.149906188646</v>
      </c>
      <c r="JL95" s="14">
        <f t="shared" si="186"/>
        <v>193904.9364035707</v>
      </c>
      <c r="JM95" s="14">
        <f>JH95*(VLOOKUP(97,$A$24:$K$72,11,FALSE)-1)</f>
        <v>5702.7282394051681</v>
      </c>
      <c r="JN95" s="11">
        <f>JN$94*$D$56/$D$47</f>
        <v>0.34175724523605278</v>
      </c>
      <c r="JO95" s="14">
        <f t="shared" si="189"/>
        <v>10252.717357081583</v>
      </c>
      <c r="JP95" s="14">
        <f t="shared" si="192"/>
        <v>236646.69094646239</v>
      </c>
      <c r="JQ95" s="14">
        <f t="shared" si="193"/>
        <v>616998.10399433924</v>
      </c>
      <c r="JR95" s="14">
        <f t="shared" si="190"/>
        <v>18509.943119830175</v>
      </c>
      <c r="JS95" s="14">
        <f t="shared" si="191"/>
        <v>255156.63406629255</v>
      </c>
      <c r="JT95" s="14">
        <f>JO95*(VLOOKUP(96,$A$24:$K$72,11,FALSE)-1)</f>
        <v>24454.685547032248</v>
      </c>
      <c r="JU95" s="11">
        <f>JU$94*$D$55/$D$47</f>
        <v>1.0944548188334637</v>
      </c>
      <c r="JV95" s="14">
        <f t="shared" si="194"/>
        <v>32833.64456500391</v>
      </c>
      <c r="JW95" s="14">
        <f t="shared" si="197"/>
        <v>301846.92757477495</v>
      </c>
      <c r="JX95" s="14">
        <f t="shared" si="198"/>
        <v>853649.48535315413</v>
      </c>
      <c r="JY95" s="14">
        <f t="shared" si="195"/>
        <v>25609.484560594621</v>
      </c>
      <c r="JZ95" s="14">
        <f t="shared" si="196"/>
        <v>327456.41213536955</v>
      </c>
      <c r="KA95" s="14">
        <f>JV95*(VLOOKUP(95,$A$24:$K$72,11,FALSE)-1)</f>
        <v>84602.084318794121</v>
      </c>
      <c r="KB95" s="11">
        <f>KB$94*$D$54/$D$47</f>
        <v>2.888385370869492</v>
      </c>
      <c r="KC95" s="14">
        <f t="shared" si="199"/>
        <v>86651.561126084765</v>
      </c>
      <c r="KD95" s="14">
        <f t="shared" si="202"/>
        <v>375384.52156231937</v>
      </c>
      <c r="KE95" s="14">
        <f t="shared" si="203"/>
        <v>1155495.5179727259</v>
      </c>
      <c r="KF95" s="14">
        <f t="shared" si="200"/>
        <v>34664.865539181774</v>
      </c>
      <c r="KG95" s="14">
        <f t="shared" si="201"/>
        <v>410049.38710150111</v>
      </c>
      <c r="KH95" s="14">
        <f>KC95*(VLOOKUP(94,$A$24:$K$72,11,FALSE)-1)</f>
        <v>241952.65049324837</v>
      </c>
      <c r="KI95" s="11">
        <f>KI$94*$D$53/$D$47</f>
        <v>6.4236838756832624</v>
      </c>
      <c r="KJ95" s="14">
        <f t="shared" si="204"/>
        <v>192710.51627049787</v>
      </c>
      <c r="KK95" s="14">
        <f t="shared" si="207"/>
        <v>455506.7754039577</v>
      </c>
      <c r="KL95" s="14">
        <f t="shared" si="208"/>
        <v>1530874.3792380309</v>
      </c>
      <c r="KM95" s="14">
        <f t="shared" si="205"/>
        <v>45926.231377140924</v>
      </c>
      <c r="KN95" s="14">
        <f t="shared" si="206"/>
        <v>501433.00678109861</v>
      </c>
      <c r="KO95" s="14">
        <f>KJ95*(VLOOKUP(93,$A$24:$K$72,11,FALSE)-1)</f>
        <v>584715.81195973756</v>
      </c>
      <c r="KP95" s="11">
        <f>KP$94*$D$52/$D$47</f>
        <v>12.226038446657991</v>
      </c>
      <c r="KQ95" s="14">
        <f t="shared" si="209"/>
        <v>366781.15339973976</v>
      </c>
      <c r="KR95" s="14">
        <f t="shared" si="212"/>
        <v>540530.90878852992</v>
      </c>
      <c r="KS95" s="14">
        <f t="shared" si="213"/>
        <v>1986375.1429614329</v>
      </c>
      <c r="KT95" s="14">
        <f t="shared" si="210"/>
        <v>59591.254288842989</v>
      </c>
      <c r="KU95" s="14">
        <f t="shared" si="211"/>
        <v>600122.16307737294</v>
      </c>
      <c r="KV95" s="14">
        <f>KQ95*(VLOOKUP(92,$A$24:$K$72,11,FALSE)-1)</f>
        <v>1210588.6854126204</v>
      </c>
      <c r="KW95" s="11">
        <f>KW$94*$D$51/$D$47</f>
        <v>20.18169541638968</v>
      </c>
      <c r="KX95" s="14">
        <f t="shared" si="214"/>
        <v>605450.86249169044</v>
      </c>
      <c r="KY95" s="14">
        <f t="shared" si="217"/>
        <v>631608.37983876409</v>
      </c>
      <c r="KZ95" s="14">
        <f t="shared" si="218"/>
        <v>2526903.9138314584</v>
      </c>
      <c r="LA95" s="14">
        <f t="shared" si="215"/>
        <v>75807.117414943743</v>
      </c>
      <c r="LB95" s="14">
        <f t="shared" si="216"/>
        <v>707415.49725370784</v>
      </c>
      <c r="LC95" s="14">
        <f>KX95*(VLOOKUP(91,$A$24:$K$72,11,FALSE)-1)</f>
        <v>2163418.2058198876</v>
      </c>
      <c r="LD95" s="11">
        <f>LD$94*$D$50/$D$47</f>
        <v>29.333212204101784</v>
      </c>
      <c r="LE95" s="14">
        <f t="shared" si="219"/>
        <v>879996.36612305348</v>
      </c>
      <c r="LF95" s="14">
        <f t="shared" si="222"/>
        <v>728247.32067048992</v>
      </c>
      <c r="LG95" s="14">
        <f t="shared" si="223"/>
        <v>3158514.9009522814</v>
      </c>
      <c r="LH95" s="14">
        <f t="shared" si="220"/>
        <v>94755.447028568437</v>
      </c>
      <c r="LI95" s="14">
        <f t="shared" si="221"/>
        <v>823002.7676990584</v>
      </c>
      <c r="LJ95" s="14">
        <f>LE95*(VLOOKUP(90,$A$24:$K$72,11,FALSE)-1)</f>
        <v>3388726.4929706748</v>
      </c>
      <c r="LK95" s="11">
        <f>LK$94*$D$49/$D$47</f>
        <v>38.243199592360732</v>
      </c>
      <c r="LL95" s="14">
        <f t="shared" si="224"/>
        <v>1147295.9877708219</v>
      </c>
      <c r="LM95" s="14">
        <f>LN94/$G51</f>
        <v>827084.85822913074</v>
      </c>
      <c r="LN95" s="14">
        <f>LN94-LM95</f>
        <v>3886767.0090440549</v>
      </c>
      <c r="LO95" s="14">
        <f t="shared" si="225"/>
        <v>116603.01027132165</v>
      </c>
      <c r="LP95" s="14">
        <f t="shared" si="226"/>
        <v>943687.86850045237</v>
      </c>
      <c r="LQ95" s="14">
        <f>LL95*(VLOOKUP(89,$A$24:$K$72,11,FALSE)-1)</f>
        <v>4757564.5712792156</v>
      </c>
      <c r="LR95" s="11">
        <f>LR$94*$D$48/$D$47</f>
        <v>45.307398089837839</v>
      </c>
      <c r="LS95" s="14">
        <f>LR95*$B$21</f>
        <v>1359221.9426951353</v>
      </c>
      <c r="LT95" s="14">
        <f>LU94/$G50</f>
        <v>922057.36269557406</v>
      </c>
      <c r="LU95" s="14">
        <f>LU94-LT95</f>
        <v>4713855.264710037</v>
      </c>
      <c r="LV95" s="14">
        <f>$B$20*LU95</f>
        <v>141415.65794130112</v>
      </c>
      <c r="LW95" s="14">
        <f>LT95+LV95</f>
        <v>1063473.0206368752</v>
      </c>
      <c r="LX95" s="14">
        <f>LS95*(VLOOKUP(88,$A$24:$K$72,11,FALSE)-1)</f>
        <v>6092278.7610085001</v>
      </c>
      <c r="LY95" s="11">
        <f>LY$94*$D$47/$D$47</f>
        <v>49.087106050317068</v>
      </c>
      <c r="LZ95" s="14">
        <f>LY95*$B$21</f>
        <v>1472613.181509512</v>
      </c>
      <c r="MA95" s="14">
        <f>MB94/$G49</f>
        <v>1014699.43751149</v>
      </c>
      <c r="MB95" s="14">
        <f>MB94-MA95</f>
        <v>5635912.7262487039</v>
      </c>
      <c r="MC95" s="14">
        <f>$B$20*MB95</f>
        <v>169077.38178746111</v>
      </c>
      <c r="MD95" s="14">
        <f>MA95+MC95</f>
        <v>1183776.819298951</v>
      </c>
      <c r="ME95" s="14">
        <f>LZ95*(VLOOKUP(87,$A$24:$K$72,11,FALSE)-1)</f>
        <v>7122383.5405957494</v>
      </c>
      <c r="MF95" s="11">
        <f>MF$94*$D$46/$D$47</f>
        <v>49.08708768797122</v>
      </c>
      <c r="MG95" s="14">
        <f>MF95*$B$21</f>
        <v>1472612.6306391365</v>
      </c>
      <c r="MH95" s="14">
        <f>MI94/$G48</f>
        <v>1109567.0398425427</v>
      </c>
      <c r="MI95" s="14">
        <f>MI94-MH95</f>
        <v>6650609.6759207007</v>
      </c>
      <c r="MJ95" s="14">
        <f>$B$20*MI95</f>
        <v>199518.29027762101</v>
      </c>
      <c r="MK95" s="14">
        <f>MH95+MJ95</f>
        <v>1309085.3301201637</v>
      </c>
      <c r="ML95" s="14">
        <f>MG95*(VLOOKUP(86,$A$24:$K$72,11,FALSE)-1)</f>
        <v>7631185.9825973902</v>
      </c>
      <c r="MM95" s="11">
        <f>($N94-$N95)+(MF94-MF95)+(LY94-LY95)+(LR94-LR95)+(LK94-LK95)+(LD94-LD95)+(KW94-KW95)+(KP94-KP95)+(KI94-KI95)+(KB94-KB95)+(JU94-JU95)+(JN94-JN95)+(JG94-JG95)+(IZ94-IZ95)+(IS94-IS95)+(IL94-IL95)+(IE94-IE95)+(HX94-HX95)+(HQ94-HQ95)+(HJ94-HJ95)+(HC94-HC95)+(GV94-GV95)+(GO94-GO95)+(GH94-GH95)+(GA94-GA95)+(FT94-FT95)+(FM94-FM95)+(FF94-FF95)+(EY94-EY95)+(ER94-ER95)+(EK94-EK95)+(ED94-ED95)+(DW94-DW95)+(DP94-DP95)+(DI94-DI95)+(DB94-DB95)+(CU94-CU95)+(CN94-CN95)+(CG94-CG95)+(BZ94-BZ95)+(BS94-BS95)+(BL94-BL95)+(BE94-BE95)+(AX94-AX95)+(AQ94-AQ95)+(AJ94-AJ95)+(AC94-AC95)+(V94-V95)</f>
        <v>45.680427154488733</v>
      </c>
      <c r="MN95" s="14">
        <f>MM95*$B$21</f>
        <v>1370412.8146346619</v>
      </c>
      <c r="MO95" s="14">
        <f>MN$46/$G47</f>
        <v>1202130.6993154204</v>
      </c>
      <c r="MP95" s="14">
        <f>MN$46-MO95</f>
        <v>7760173.8876178777</v>
      </c>
      <c r="MQ95" s="14">
        <f>$B$20*MP95</f>
        <v>232805.21662853632</v>
      </c>
      <c r="MR95" s="14">
        <f>MO95+MQ95</f>
        <v>1434935.9159439567</v>
      </c>
      <c r="MS95" s="14">
        <f>MN95*(VLOOKUP(85,$A$24:$K$72,11,FALSE)-1)</f>
        <v>7591891.7722986424</v>
      </c>
      <c r="NC95" s="15">
        <v>49</v>
      </c>
      <c r="ND95" s="15">
        <f>N95+V95+AC95+AJ95+AQ95+AX95+BE95+BL95+BS95+BZ95+CG95+CN95+CU95+DB95+DI95+DP95+DW95+ED95+EK95+ER95+EY95+FF95+FM95+FT95+GA95+GH95+GO95+GV95+HC95+HJ95+HQ95+HX95+IE95+IL95+IS95+IZ95+JG95+JN95+JU95+KB95+KI95+KP95+KW95+LD95+LK95+LR95+LY95+MF95+MM95</f>
        <v>299.99999999999983</v>
      </c>
      <c r="NE95" s="14">
        <f>P95+W95+AD95+AK95+AR95+AY95+BF95+BM95+BT95+CA95+CH95+CO95+CV95+DC95+DJ95+DQ95+DX95+EE95+EL95+ES95+EZ95+FG95+FN95+FU95+GB95+GI95+GP95+GW95+HD95+HK95+HR95+HY95+IF95+IM95+IT95+JA95+JH95+JO95+JV95+KC95+KJ95+KQ95+KX95+LE95+LL95+LS95+LZ95+MG95+MN95</f>
        <v>8999999.9999999944</v>
      </c>
      <c r="NF95" s="14">
        <f>T95+AA95+AH95+AO95+AV95+BC95+BJ95+BQ95+BX95+CE95+CL95+CS95+CZ95+DG95+DN95+DU95+EB95+EI95+EP95+EW95+FD95+FK95+FR95+FY95+GF95+GM95+GT95+HA95+HH95+HO95+HV95+IC95+IJ95+IQ95+IX95+JE95+JL95+JS95+JZ95+KG95+KN95+KU95+LB95+LI95+LP95+LW95+MD95+MK95+MR95</f>
        <v>10214754.311483962</v>
      </c>
      <c r="NH95" s="14">
        <f>U95+AB95+AI95+AP95+AW95+BD95+BK95+BR95+BY95+CF95+CM95+CT95+DA95+DH95+DO95+DV95+EC95+EJ95+EQ95+EX95+FE95+FL95+FS95+FZ95+GG95+GN95+GU95+HB95+HI95+HP95+HW95+ID95+IK95+IR95+IY95+JF95+JM95+JT95+KA95+KH95+KO95+KV95+LC95+LJ95+LQ95+LX95+ME95+ML95+MS95</f>
        <v>40900674.609530203</v>
      </c>
      <c r="NI95" s="14">
        <f>R95+Y95+AF95+AM95+AT95+BA95+BH95+BO95+BV95+CC95+CJ95+CQ95+CX95+DE95+DL95+DS95+DZ95+EG95+EN95+EU95+FB95+FI95+FP95+FW95+GD95+GK95+GR95+GY95+HF95+HM95+HT95+IA95+IH95+IO95+IV95+JC95+JJ95+JQ95+JX95+KE95+KL95+KS95+KZ95+LG95+LN95+LU95+MB95+MI95+MP95</f>
        <v>41760902.248163208</v>
      </c>
    </row>
    <row r="96" spans="1:373" x14ac:dyDescent="0.25">
      <c r="A96" s="1"/>
      <c r="B96" s="3"/>
      <c r="GH96" s="11">
        <f>GH$95*$D$69/$D$47</f>
        <v>1.8522357906975081E-20</v>
      </c>
      <c r="GI96" s="14">
        <f t="shared" si="129"/>
        <v>5.5567073720925247E-16</v>
      </c>
      <c r="GJ96" s="14">
        <f t="shared" si="132"/>
        <v>757.27334149372825</v>
      </c>
      <c r="GK96" s="14">
        <f t="shared" si="133"/>
        <v>378.63667074686407</v>
      </c>
      <c r="GL96" s="14">
        <f t="shared" si="130"/>
        <v>11.359100122405922</v>
      </c>
      <c r="GM96" s="14">
        <f t="shared" si="131"/>
        <v>768.6324416161342</v>
      </c>
      <c r="GN96" s="14">
        <f>GI96*(VLOOKUP(109,$A$24:$K$72,11,FALSE)-1)</f>
        <v>2.6974307631517111E-16</v>
      </c>
      <c r="GO96" s="11">
        <f>GO$95*$D$68/$D$47</f>
        <v>8.0960079485271031E-18</v>
      </c>
      <c r="GP96" s="14">
        <f t="shared" si="134"/>
        <v>2.4288023845581311E-13</v>
      </c>
      <c r="GQ96" s="14">
        <f t="shared" si="137"/>
        <v>1484.0582010206458</v>
      </c>
      <c r="GR96" s="14">
        <f t="shared" si="138"/>
        <v>1137.0853936220187</v>
      </c>
      <c r="GS96" s="14">
        <f t="shared" si="135"/>
        <v>34.112561808660558</v>
      </c>
      <c r="GT96" s="14">
        <f t="shared" si="136"/>
        <v>1518.1707628293063</v>
      </c>
      <c r="GU96" s="14">
        <f>GP96*(VLOOKUP(108,$A$24:$K$72,11,FALSE)-1)</f>
        <v>1.7892047834757364E-13</v>
      </c>
      <c r="GV96" s="11">
        <f>GV$95*$D$67/$D$47</f>
        <v>1.9926917002305806E-15</v>
      </c>
      <c r="GW96" s="14">
        <f t="shared" si="139"/>
        <v>5.9780751006917414E-11</v>
      </c>
      <c r="GX96" s="14">
        <f t="shared" si="142"/>
        <v>2751.4906226943012</v>
      </c>
      <c r="GY96" s="14">
        <f t="shared" si="143"/>
        <v>2616.9391543067413</v>
      </c>
      <c r="GZ96" s="14">
        <f t="shared" si="140"/>
        <v>78.50817462920223</v>
      </c>
      <c r="HA96" s="14">
        <f t="shared" si="141"/>
        <v>2829.9987973235034</v>
      </c>
      <c r="HB96" s="14">
        <f>GW96*(VLOOKUP(107,$A$24:$K$72,11,FALSE)-1)</f>
        <v>5.4278143192875629E-11</v>
      </c>
      <c r="HC96" s="11">
        <f>HC$95*$D$66/$D$47</f>
        <v>2.8955865380806298E-13</v>
      </c>
      <c r="HD96" s="14">
        <f t="shared" si="144"/>
        <v>8.6867596142418893E-9</v>
      </c>
      <c r="HE96" s="14">
        <f t="shared" si="147"/>
        <v>4875.2230185882436</v>
      </c>
      <c r="HF96" s="14">
        <f t="shared" si="148"/>
        <v>5370.4985144668317</v>
      </c>
      <c r="HG96" s="14">
        <f t="shared" si="145"/>
        <v>161.11495543400494</v>
      </c>
      <c r="HH96" s="14">
        <f t="shared" si="146"/>
        <v>5036.3379740222481</v>
      </c>
      <c r="HI96" s="14">
        <f>HD96*(VLOOKUP(106,$A$24:$K$72,11,FALSE)-1)</f>
        <v>9.0850901863915461E-9</v>
      </c>
      <c r="HJ96" s="11">
        <f>HJ$95*$D$65/$D$47</f>
        <v>2.5766253744254299E-11</v>
      </c>
      <c r="HK96" s="14">
        <f t="shared" si="149"/>
        <v>7.7298761232762896E-7</v>
      </c>
      <c r="HL96" s="14">
        <f t="shared" si="152"/>
        <v>8275.8245319019043</v>
      </c>
      <c r="HM96" s="14">
        <f t="shared" si="153"/>
        <v>10247.597823668715</v>
      </c>
      <c r="HN96" s="14">
        <f t="shared" si="150"/>
        <v>307.42793471006144</v>
      </c>
      <c r="HO96" s="14">
        <f t="shared" si="151"/>
        <v>8583.2524666119662</v>
      </c>
      <c r="HP96" s="14">
        <f>HK96*(VLOOKUP(105,$A$24:$K$72,11,FALSE)-1)</f>
        <v>9.0463394114582146E-7</v>
      </c>
      <c r="HQ96" s="11">
        <f>HQ$95*$D$64/$D$47</f>
        <v>1.4543921563927508E-9</v>
      </c>
      <c r="HR96" s="14">
        <f t="shared" si="154"/>
        <v>4.3631764691782527E-5</v>
      </c>
      <c r="HS96" s="14">
        <f t="shared" si="157"/>
        <v>13512.541636461552</v>
      </c>
      <c r="HT96" s="14">
        <f t="shared" si="158"/>
        <v>18524.781470962593</v>
      </c>
      <c r="HU96" s="14">
        <f t="shared" si="155"/>
        <v>555.74344412887774</v>
      </c>
      <c r="HV96" s="14">
        <f t="shared" si="156"/>
        <v>14068.285080590429</v>
      </c>
      <c r="HW96" s="14">
        <f>HR96*(VLOOKUP(104,$A$24:$K$72,11,FALSE)-1)</f>
        <v>5.6310983141546365E-5</v>
      </c>
      <c r="HX96" s="11">
        <f>HX$95*$D$63/$D$47</f>
        <v>5.3776296185485763E-8</v>
      </c>
      <c r="HY96" s="14">
        <f t="shared" si="159"/>
        <v>1.6132888855645729E-3</v>
      </c>
      <c r="HZ96" s="14">
        <f t="shared" si="162"/>
        <v>21299.884807184531</v>
      </c>
      <c r="IA96" s="14">
        <f t="shared" si="163"/>
        <v>32037.572731557349</v>
      </c>
      <c r="IB96" s="14">
        <f t="shared" si="160"/>
        <v>961.1271819467205</v>
      </c>
      <c r="IC96" s="14">
        <f t="shared" si="161"/>
        <v>22261.011989131253</v>
      </c>
      <c r="ID96" s="14">
        <f>HY96*(VLOOKUP(103,$A$24:$K$72,11,FALSE)-1)</f>
        <v>2.276075158272235E-3</v>
      </c>
      <c r="IE96" s="11">
        <f>IE$95*$D$62/$D$47</f>
        <v>1.3413263103295108E-6</v>
      </c>
      <c r="IF96" s="14">
        <f t="shared" si="164"/>
        <v>4.0239789309885324E-2</v>
      </c>
      <c r="IG96" s="14">
        <f t="shared" si="167"/>
        <v>32513.288315846283</v>
      </c>
      <c r="IH96" s="14">
        <f t="shared" si="168"/>
        <v>53336.381690177936</v>
      </c>
      <c r="II96" s="14">
        <f t="shared" si="165"/>
        <v>1600.091450705338</v>
      </c>
      <c r="IJ96" s="14">
        <f t="shared" si="166"/>
        <v>34113.379766551618</v>
      </c>
      <c r="IK96" s="14">
        <f>IF96*(VLOOKUP(102,$A$24:$K$72,11,FALSE)-1)</f>
        <v>6.1701045917779196E-2</v>
      </c>
      <c r="IL96" s="11">
        <f>IL$95*$D$61/$D$47</f>
        <v>2.318506571569908E-5</v>
      </c>
      <c r="IM96" s="14">
        <f t="shared" si="169"/>
        <v>0.69555197147097236</v>
      </c>
      <c r="IN96" s="14">
        <f t="shared" si="172"/>
        <v>48195.101044423391</v>
      </c>
      <c r="IO96" s="14">
        <f t="shared" si="173"/>
        <v>85847.36449486285</v>
      </c>
      <c r="IP96" s="14">
        <f t="shared" si="170"/>
        <v>2575.4209348458853</v>
      </c>
      <c r="IQ96" s="14">
        <f t="shared" si="171"/>
        <v>50770.521979269273</v>
      </c>
      <c r="IR96" s="14">
        <f>IM96*(VLOOKUP(101,$A$24:$K$72,11,FALSE)-1)</f>
        <v>1.1540674377003066</v>
      </c>
      <c r="IS96" s="11">
        <f>IS$95*$D$60/$D$47</f>
        <v>2.8470016786523396E-4</v>
      </c>
      <c r="IT96" s="14">
        <f t="shared" si="174"/>
        <v>8.5410050359570189</v>
      </c>
      <c r="IU96" s="14">
        <f t="shared" si="177"/>
        <v>69544.141261208802</v>
      </c>
      <c r="IV96" s="14">
        <f t="shared" si="178"/>
        <v>134039.65328056132</v>
      </c>
      <c r="IW96" s="14">
        <f t="shared" si="175"/>
        <v>4021.1895984168395</v>
      </c>
      <c r="IX96" s="14">
        <f t="shared" si="176"/>
        <v>73565.330859625639</v>
      </c>
      <c r="IY96" s="14">
        <f>IT96*(VLOOKUP(100,$A$24:$K$72,11,FALSE)-1)</f>
        <v>15.281211126151595</v>
      </c>
      <c r="IZ96" s="11">
        <f>IZ$95*$D$59/$D$47</f>
        <v>2.5409077724820725E-3</v>
      </c>
      <c r="JA96" s="14">
        <f t="shared" si="179"/>
        <v>76.227233174462171</v>
      </c>
      <c r="JB96" s="14">
        <f t="shared" si="182"/>
        <v>97893.837194612526</v>
      </c>
      <c r="JC96" s="14">
        <f t="shared" si="183"/>
        <v>203582.74267237703</v>
      </c>
      <c r="JD96" s="14">
        <f t="shared" si="180"/>
        <v>6107.4822801713108</v>
      </c>
      <c r="JE96" s="14">
        <f t="shared" si="181"/>
        <v>104001.31947478384</v>
      </c>
      <c r="JF96" s="14">
        <f>JA96*(VLOOKUP(99,$A$24:$K$72,11,FALSE)-1)</f>
        <v>146.63885729663969</v>
      </c>
      <c r="JG96" s="11">
        <f>JG$95*$D$58/$D$47</f>
        <v>1.6892494699232336E-2</v>
      </c>
      <c r="JH96" s="14">
        <f t="shared" si="184"/>
        <v>506.7748409769701</v>
      </c>
      <c r="JI96" s="14">
        <f t="shared" si="187"/>
        <v>134692.65896189987</v>
      </c>
      <c r="JJ96" s="14">
        <f t="shared" si="188"/>
        <v>301479.0045777217</v>
      </c>
      <c r="JK96" s="14">
        <f t="shared" si="185"/>
        <v>9044.3701373316508</v>
      </c>
      <c r="JL96" s="14">
        <f t="shared" si="186"/>
        <v>143737.02909923153</v>
      </c>
      <c r="JM96" s="14">
        <f>JH96*(VLOOKUP(98,$A$24:$K$72,11,FALSE)-1)</f>
        <v>1045.5061173316494</v>
      </c>
      <c r="JN96" s="11">
        <f>JN$95*$D$57/$D$47</f>
        <v>8.5812404510725124E-2</v>
      </c>
      <c r="JO96" s="14">
        <f t="shared" si="189"/>
        <v>2574.3721353217538</v>
      </c>
      <c r="JP96" s="14">
        <f t="shared" si="192"/>
        <v>180821.7365521919</v>
      </c>
      <c r="JQ96" s="14">
        <f t="shared" si="193"/>
        <v>436176.36744214734</v>
      </c>
      <c r="JR96" s="14">
        <f t="shared" si="190"/>
        <v>13085.291023264419</v>
      </c>
      <c r="JS96" s="14">
        <f t="shared" si="191"/>
        <v>193907.0275754563</v>
      </c>
      <c r="JT96" s="14">
        <f>JO96*(VLOOKUP(97,$A$24:$K$72,11,FALSE)-1)</f>
        <v>5702.7897405984213</v>
      </c>
      <c r="JU96" s="11">
        <f>JU$95*$D$56/$D$47</f>
        <v>0.3417591230456683</v>
      </c>
      <c r="JV96" s="14">
        <f t="shared" si="194"/>
        <v>10252.773691370048</v>
      </c>
      <c r="JW96" s="14">
        <f t="shared" si="197"/>
        <v>236647.99121862356</v>
      </c>
      <c r="JX96" s="14">
        <f t="shared" si="198"/>
        <v>617001.49413453054</v>
      </c>
      <c r="JY96" s="14">
        <f t="shared" si="195"/>
        <v>18510.044824035915</v>
      </c>
      <c r="JZ96" s="14">
        <f t="shared" si="196"/>
        <v>255158.03604265949</v>
      </c>
      <c r="KA96" s="14">
        <f>JV96*(VLOOKUP(96,$A$24:$K$72,11,FALSE)-1)</f>
        <v>24454.819915050204</v>
      </c>
      <c r="KB96" s="11">
        <f>KB$95*$D$55/$D$47</f>
        <v>1.0944539711562042</v>
      </c>
      <c r="KC96" s="14">
        <f t="shared" si="199"/>
        <v>32833.619134686131</v>
      </c>
      <c r="KD96" s="14">
        <f t="shared" si="202"/>
        <v>301846.69378826086</v>
      </c>
      <c r="KE96" s="14">
        <f t="shared" si="203"/>
        <v>853648.82418446499</v>
      </c>
      <c r="KF96" s="14">
        <f t="shared" si="200"/>
        <v>25609.464725533948</v>
      </c>
      <c r="KG96" s="14">
        <f t="shared" si="201"/>
        <v>327456.15851379483</v>
      </c>
      <c r="KH96" s="14">
        <f>KC96*(VLOOKUP(95,$A$24:$K$72,11,FALSE)-1)</f>
        <v>84602.018792779039</v>
      </c>
      <c r="KI96" s="11">
        <f>KI$95*$D$54/$D$47</f>
        <v>2.8883746913135062</v>
      </c>
      <c r="KJ96" s="14">
        <f t="shared" si="204"/>
        <v>86651.240739405184</v>
      </c>
      <c r="KK96" s="14">
        <f t="shared" si="207"/>
        <v>375383.13361040159</v>
      </c>
      <c r="KL96" s="14">
        <f t="shared" si="208"/>
        <v>1155491.2456276293</v>
      </c>
      <c r="KM96" s="14">
        <f t="shared" si="205"/>
        <v>34664.737368828879</v>
      </c>
      <c r="KN96" s="14">
        <f t="shared" si="206"/>
        <v>410047.8709792305</v>
      </c>
      <c r="KO96" s="14">
        <f>KJ96*(VLOOKUP(94,$A$24:$K$72,11,FALSE)-1)</f>
        <v>241951.7558941748</v>
      </c>
      <c r="KP96" s="11">
        <f>KP$95*$D$53/$D$47</f>
        <v>6.423664434733884</v>
      </c>
      <c r="KQ96" s="14">
        <f t="shared" si="209"/>
        <v>192709.93304201652</v>
      </c>
      <c r="KR96" s="14">
        <f t="shared" si="212"/>
        <v>455505.39683609403</v>
      </c>
      <c r="KS96" s="14">
        <f t="shared" si="213"/>
        <v>1530869.7461253388</v>
      </c>
      <c r="KT96" s="14">
        <f t="shared" si="210"/>
        <v>45926.092383760166</v>
      </c>
      <c r="KU96" s="14">
        <f t="shared" si="211"/>
        <v>501431.48921985418</v>
      </c>
      <c r="KV96" s="14">
        <f>KQ96*(VLOOKUP(93,$A$24:$K$72,11,FALSE)-1)</f>
        <v>584714.04234735924</v>
      </c>
      <c r="KW96" s="11">
        <f>KW$95*$D$52/$D$47</f>
        <v>12.22602810267478</v>
      </c>
      <c r="KX96" s="14">
        <f t="shared" si="214"/>
        <v>366780.84308024339</v>
      </c>
      <c r="KY96" s="14">
        <f t="shared" si="217"/>
        <v>540530.45146601438</v>
      </c>
      <c r="KZ96" s="14">
        <f t="shared" si="218"/>
        <v>1986373.4623654441</v>
      </c>
      <c r="LA96" s="14">
        <f t="shared" si="215"/>
        <v>59591.20387096332</v>
      </c>
      <c r="LB96" s="14">
        <f t="shared" si="216"/>
        <v>600121.65533697768</v>
      </c>
      <c r="LC96" s="14">
        <f>KX96*(VLOOKUP(92,$A$24:$K$72,11,FALSE)-1)</f>
        <v>1210587.6611798655</v>
      </c>
      <c r="LD96" s="11">
        <f>LD$95*$D$51/$D$47</f>
        <v>20.181712075932971</v>
      </c>
      <c r="LE96" s="14">
        <f t="shared" si="219"/>
        <v>605451.36227798916</v>
      </c>
      <c r="LF96" s="14">
        <f t="shared" si="222"/>
        <v>631608.90121751581</v>
      </c>
      <c r="LG96" s="14">
        <f t="shared" si="223"/>
        <v>2526905.9997347659</v>
      </c>
      <c r="LH96" s="14">
        <f t="shared" si="220"/>
        <v>75807.179992042977</v>
      </c>
      <c r="LI96" s="14">
        <f t="shared" si="221"/>
        <v>707416.08120955876</v>
      </c>
      <c r="LJ96" s="14">
        <f>LE96*(VLOOKUP(91,$A$24:$K$72,11,FALSE)-1)</f>
        <v>2163419.9916737773</v>
      </c>
      <c r="LK96" s="11">
        <f>LK$95*$D$50/$D$47</f>
        <v>29.333248334545708</v>
      </c>
      <c r="LL96" s="14">
        <f t="shared" si="224"/>
        <v>879997.45003637124</v>
      </c>
      <c r="LM96" s="14">
        <f>LN95/$G52</f>
        <v>728248.21767074976</v>
      </c>
      <c r="LN96" s="14">
        <f>LN95-LM96</f>
        <v>3158518.791373305</v>
      </c>
      <c r="LO96" s="14">
        <f t="shared" si="225"/>
        <v>94755.563741199148</v>
      </c>
      <c r="LP96" s="14">
        <f t="shared" si="226"/>
        <v>823003.78141194885</v>
      </c>
      <c r="LQ96" s="14">
        <f>LL96*(VLOOKUP(90,$A$24:$K$72,11,FALSE)-1)</f>
        <v>3388730.6669490198</v>
      </c>
      <c r="LR96" s="11">
        <f>LR$95*$D$49/$D$47</f>
        <v>38.243227155563631</v>
      </c>
      <c r="LS96" s="14">
        <f>LR96*$B$21</f>
        <v>1147296.8146669089</v>
      </c>
      <c r="LT96" s="14">
        <f>LU95/$G51</f>
        <v>827085.45433792996</v>
      </c>
      <c r="LU96" s="14">
        <f>LU95-LT96</f>
        <v>3886769.8103721072</v>
      </c>
      <c r="LV96" s="14">
        <f>$B$20*LU96</f>
        <v>116603.09431116321</v>
      </c>
      <c r="LW96" s="14">
        <f>LT96+LV96</f>
        <v>943688.54864909314</v>
      </c>
      <c r="LX96" s="14">
        <f>LS96*(VLOOKUP(89,$A$24:$K$72,11,FALSE)-1)</f>
        <v>4757568.0002213279</v>
      </c>
      <c r="LY96" s="11">
        <f>LY$95*$D$48/$D$47</f>
        <v>45.307398884442648</v>
      </c>
      <c r="LZ96" s="14">
        <f>LY96*$B$21</f>
        <v>1359221.9665332795</v>
      </c>
      <c r="MA96" s="14">
        <f>MB95/$G50</f>
        <v>922057.37886669091</v>
      </c>
      <c r="MB96" s="14">
        <f>MB95-MA96</f>
        <v>4713855.3473820128</v>
      </c>
      <c r="MC96" s="14">
        <f>$B$20*MB96</f>
        <v>141415.66042146037</v>
      </c>
      <c r="MD96" s="14">
        <f>MA96+MC96</f>
        <v>1063473.0392881513</v>
      </c>
      <c r="ME96" s="14">
        <f>LZ96*(VLOOKUP(88,$A$24:$K$72,11,FALSE)-1)</f>
        <v>6092278.8678553766</v>
      </c>
      <c r="MF96" s="11">
        <f>MF$95*$D$47/$D$47</f>
        <v>49.08708768797122</v>
      </c>
      <c r="MG96" s="14">
        <f>MF96*$B$21</f>
        <v>1472612.6306391365</v>
      </c>
      <c r="MH96" s="14">
        <f>MI95/$G49</f>
        <v>1014699.0579360054</v>
      </c>
      <c r="MI96" s="14">
        <f>MI95-MH96</f>
        <v>5635910.6179846954</v>
      </c>
      <c r="MJ96" s="14">
        <f>$B$20*MI96</f>
        <v>169077.31853954087</v>
      </c>
      <c r="MK96" s="14">
        <f>MH96+MJ96</f>
        <v>1183776.3764755463</v>
      </c>
      <c r="ML96" s="14">
        <f>MG96*(VLOOKUP(87,$A$24:$K$72,11,FALSE)-1)</f>
        <v>7122380.8762775538</v>
      </c>
      <c r="MM96" s="11">
        <f>MM$95*$D$46/$D$47</f>
        <v>49.08706979850497</v>
      </c>
      <c r="MN96" s="14">
        <f>MM96*$B$21</f>
        <v>1472612.0939551492</v>
      </c>
      <c r="MO96" s="14">
        <f>MP95/$G48</f>
        <v>1109566.6354681328</v>
      </c>
      <c r="MP96" s="14">
        <f>MP95-MO96</f>
        <v>6650607.2521497449</v>
      </c>
      <c r="MQ96" s="14">
        <f>$B$20*MP96</f>
        <v>199518.21756449234</v>
      </c>
      <c r="MR96" s="14">
        <f>MO96+MQ96</f>
        <v>1309084.853032625</v>
      </c>
      <c r="MS96" s="14">
        <f>MN96*(VLOOKUP(86,$A$24:$K$72,11,FALSE)-1)</f>
        <v>7631183.2014618516</v>
      </c>
      <c r="MT96" s="11">
        <f>($N95-$N96)+(MM95-MM96)+(MF95-MF96)+(LY95-LY96)+(LR95-LR96)+(LK95-LK96)+(LD95-LD96)+(KW95-KW96)+(KP95-KP96)+(KI95-KI96)+(KB95-KB96)+(JU95-JU96)+(JN95-JN96)+(JG95-JG96)+(IZ95-IZ96)+(IS95-IS96)+(IL95-IL96)+(IE95-IE96)+(HX95-HX96)+(HQ95-HQ96)+(HJ95-HJ96)+(HC95-HC96)+(GV95-GV96)+(GO95-GO96)+(GH95-GH96)+(GA95-GA96)+(FT95-FT96)+(FM95-FM96)+(FF95-FF96)+(EY95-EY96)+(ER95-ER96)+(EK95-EK96)+(ED95-ED96)+(DW95-DW96)+(DP95-DP96)+(DI95-DI96)+(DB95-DB96)+(CU95-CU96)+(CN95-CN96)+(CG95-CG96)+(BZ95-BZ96)+(BS95-BS96)+(BL95-BL96)+(BE95-BE96)+(AX95-AX96)+(AQ95-AQ96)+(AJ95-AJ96)+(AC95-AC96)+(V95-V96)</f>
        <v>45.680420651315586</v>
      </c>
      <c r="MU96" s="14">
        <f>MT96*$B$21</f>
        <v>1370412.6195394676</v>
      </c>
      <c r="MV96" s="14">
        <f>MU$46/$G47</f>
        <v>1202130.5281772653</v>
      </c>
      <c r="MW96" s="14">
        <f>MU$46-MV96</f>
        <v>7760172.7828612626</v>
      </c>
      <c r="MX96" s="14">
        <f>$B$20*MW96</f>
        <v>232805.18348583786</v>
      </c>
      <c r="MY96" s="14">
        <f>MV96+MX96</f>
        <v>1434935.7116631032</v>
      </c>
      <c r="MZ96" s="14">
        <f>MU96*(VLOOKUP(85,$A$24:$K$72,11,FALSE)-1)</f>
        <v>7591890.6914990582</v>
      </c>
      <c r="NC96" s="15">
        <v>50</v>
      </c>
      <c r="ND96" s="15">
        <f>N96+V96+AC96+AJ96+AQ96+AX96+BE96+BL96+BS96+BZ96+CG96+CN96+CU96+DB96+DI96+DP96+DW96+ED96+EK96+ER96+EY96+FF96+FM96+FT96+GA96+GH96+GO96+GV96+HC96+HJ96+HQ96+HX96+IE96+IL96+IS96+IZ96+JG96+JN96+JU96+KB96+KI96+KP96+KW96+LD96+LK96+LR96+LY96+MF96+MM96+MT96</f>
        <v>299.99999999999989</v>
      </c>
      <c r="NE96" s="14">
        <f>P96+W96+AD96+AK96+AR96+AY96+BF96+BM96+BT96+CA96+CH96+CO96+CV96+DC96+DJ96+DQ96+DX96+EE96+EL96+ES96+EZ96+FG96+FN96+FU96+GB96+GI96+GP96+GW96+HD96+HK96+HR96+HY96+IF96+IM96+IT96+JA96+JH96+JO96+JV96+KC96+KJ96+KQ96+KX96+LE96+LL96+LS96+LZ96+MG96+MN96+MU96</f>
        <v>8999999.9999999963</v>
      </c>
      <c r="NF96" s="14">
        <f>T96+AA96+AH96+AO96+AV96+BC96+BJ96+BQ96+BX96+CE96+CL96+CS96+CZ96+DG96+DN96+DU96+EB96+EI96+EP96+EW96+FD96+FK96+FR96+FY96+GF96+GM96+GT96+HA96+HH96+HO96+HV96+IC96+IJ96+IQ96+IX96+JE96+JL96+JS96+JZ96+KG96+KN96+KU96+LB96+LI96+LP96+LW96+MD96+MK96+MR96+MY96</f>
        <v>10214753.900089586</v>
      </c>
      <c r="NH96" s="14">
        <f>U96+AB96+AI96+AP96+AW96+BD96+BK96+BR96+BY96+CF96+CM96+CT96+DA96+DH96+DO96+DV96+EC96+EJ96+EQ96+EX96+FE96+FL96+FS96+FZ96+GG96+GN96+GU96+HB96+HI96+HP96+HW96+ID96+IK96+IR96+IY96+JF96+JM96+JT96+KA96+KH96+KO96+KV96+LC96+LJ96+LQ96+LX96+ME96+ML96+MS96+MZ96</f>
        <v>40900674.028095335</v>
      </c>
      <c r="NI96" s="14">
        <f>R96+Y96+AF96+AM96+AT96+BA96+BH96+BO96+BV96+CC96+CJ96+CQ96+CX96+DE96+DL96+DS96+DZ96+EG96+EN96+EU96+FB96+FI96+FP96+FW96+GD96+GK96+GR96+GY96+HF96+HM96+HT96+IA96+IH96+IO96+IV96+JC96+JJ96+JQ96+JX96+KE96+KL96+KS96+KZ96+LG96+LN96+LU96+MB96+MI96+MP96+MW96</f>
        <v>41760900.000212483</v>
      </c>
    </row>
    <row r="97" spans="1:2" x14ac:dyDescent="0.25">
      <c r="A97" s="1"/>
      <c r="B97" s="3"/>
    </row>
    <row r="98" spans="1:2" x14ac:dyDescent="0.25">
      <c r="A98" s="1"/>
      <c r="B98" s="3"/>
    </row>
    <row r="99" spans="1:2" x14ac:dyDescent="0.25">
      <c r="A99" s="1"/>
      <c r="B99" s="3"/>
    </row>
    <row r="100" spans="1:2" x14ac:dyDescent="0.25">
      <c r="A100" s="1"/>
      <c r="B100" s="3"/>
    </row>
    <row r="101" spans="1:2" x14ac:dyDescent="0.25">
      <c r="A101" s="1"/>
      <c r="B101" s="3"/>
    </row>
    <row r="102" spans="1:2" x14ac:dyDescent="0.25">
      <c r="A102" s="1"/>
      <c r="B102" s="3"/>
    </row>
    <row r="103" spans="1:2" x14ac:dyDescent="0.25">
      <c r="A103" s="1"/>
      <c r="B103" s="3"/>
    </row>
    <row r="104" spans="1:2" x14ac:dyDescent="0.25">
      <c r="A104" s="1"/>
      <c r="B104" s="3"/>
    </row>
    <row r="105" spans="1:2" x14ac:dyDescent="0.25">
      <c r="A105" s="1"/>
      <c r="B105" s="3"/>
    </row>
    <row r="106" spans="1:2" x14ac:dyDescent="0.25">
      <c r="A106" s="1"/>
      <c r="B106" s="3"/>
    </row>
    <row r="107" spans="1:2" x14ac:dyDescent="0.25">
      <c r="A107" s="1"/>
      <c r="B107" s="3"/>
    </row>
    <row r="108" spans="1:2" x14ac:dyDescent="0.25">
      <c r="A108" s="1"/>
      <c r="B108" s="3"/>
    </row>
    <row r="109" spans="1:2" x14ac:dyDescent="0.25">
      <c r="A109" s="1"/>
      <c r="B109" s="3"/>
    </row>
    <row r="110" spans="1:2" x14ac:dyDescent="0.25">
      <c r="A110" s="1"/>
      <c r="B110" s="3"/>
    </row>
    <row r="111" spans="1:2" x14ac:dyDescent="0.25">
      <c r="A111" s="1"/>
      <c r="B111" s="3"/>
    </row>
    <row r="112" spans="1:2" x14ac:dyDescent="0.25">
      <c r="A112" s="1"/>
      <c r="B112" s="3"/>
    </row>
    <row r="113" spans="1:2" x14ac:dyDescent="0.25">
      <c r="A113" s="1"/>
      <c r="B113" s="3"/>
    </row>
    <row r="114" spans="1:2" x14ac:dyDescent="0.25">
      <c r="A114" s="1"/>
      <c r="B114" s="3"/>
    </row>
    <row r="115" spans="1:2" x14ac:dyDescent="0.25">
      <c r="A115" s="1"/>
      <c r="B115" s="3"/>
    </row>
    <row r="116" spans="1:2" x14ac:dyDescent="0.25">
      <c r="A116" s="1"/>
      <c r="B116" s="3"/>
    </row>
    <row r="117" spans="1:2" x14ac:dyDescent="0.25">
      <c r="A117" s="1"/>
      <c r="B117" s="3"/>
    </row>
    <row r="118" spans="1:2" x14ac:dyDescent="0.25">
      <c r="A118" s="1"/>
      <c r="B118" s="3"/>
    </row>
    <row r="119" spans="1:2" x14ac:dyDescent="0.25">
      <c r="A119" s="1"/>
      <c r="B119" s="3"/>
    </row>
    <row r="120" spans="1:2" x14ac:dyDescent="0.25">
      <c r="A120" s="1"/>
      <c r="B120" s="3"/>
    </row>
    <row r="121" spans="1:2" x14ac:dyDescent="0.25">
      <c r="A121" s="1"/>
      <c r="B121" s="3"/>
    </row>
    <row r="122" spans="1:2" x14ac:dyDescent="0.25">
      <c r="A122" s="1"/>
      <c r="B122" s="3"/>
    </row>
    <row r="123" spans="1:2" x14ac:dyDescent="0.25">
      <c r="A123" s="1"/>
      <c r="B123" s="3"/>
    </row>
    <row r="124" spans="1:2" x14ac:dyDescent="0.25">
      <c r="A124" s="1"/>
      <c r="B124" s="3"/>
    </row>
    <row r="125" spans="1:2" x14ac:dyDescent="0.25">
      <c r="A125" s="1"/>
      <c r="B125" s="3"/>
    </row>
    <row r="126" spans="1:2" x14ac:dyDescent="0.25">
      <c r="A126" s="1"/>
      <c r="B126" s="3"/>
    </row>
    <row r="127" spans="1:2" x14ac:dyDescent="0.25">
      <c r="A127" s="1"/>
      <c r="B127" s="3"/>
    </row>
    <row r="128" spans="1:2" x14ac:dyDescent="0.25">
      <c r="A128" s="1"/>
      <c r="B128" s="3"/>
    </row>
    <row r="129" spans="1:2" x14ac:dyDescent="0.25">
      <c r="A129" s="1"/>
      <c r="B129" s="3"/>
    </row>
    <row r="130" spans="1:2" x14ac:dyDescent="0.25">
      <c r="A130" s="1"/>
      <c r="B130" s="3"/>
    </row>
    <row r="131" spans="1:2" x14ac:dyDescent="0.25">
      <c r="A131" s="1"/>
      <c r="B131" s="3"/>
    </row>
    <row r="132" spans="1:2" x14ac:dyDescent="0.25">
      <c r="A132" s="1"/>
      <c r="B132" s="3"/>
    </row>
    <row r="133" spans="1:2" x14ac:dyDescent="0.25">
      <c r="A133" s="1"/>
      <c r="B133" s="3"/>
    </row>
    <row r="134" spans="1:2" x14ac:dyDescent="0.25">
      <c r="A134" s="1"/>
      <c r="B134" s="3"/>
    </row>
    <row r="135" spans="1:2" x14ac:dyDescent="0.25">
      <c r="A135" s="1"/>
      <c r="B135" s="3"/>
    </row>
    <row r="136" spans="1:2" x14ac:dyDescent="0.25">
      <c r="A136" s="1"/>
      <c r="B136" s="3"/>
    </row>
    <row r="137" spans="1:2" x14ac:dyDescent="0.25">
      <c r="A137" s="1"/>
      <c r="B137" s="3"/>
    </row>
    <row r="138" spans="1:2" x14ac:dyDescent="0.25">
      <c r="A138" s="1"/>
      <c r="B138" s="3"/>
    </row>
    <row r="139" spans="1:2" x14ac:dyDescent="0.25">
      <c r="A139" s="1"/>
      <c r="B139" s="3"/>
    </row>
    <row r="140" spans="1:2" x14ac:dyDescent="0.25">
      <c r="A140" s="1"/>
      <c r="B140" s="3"/>
    </row>
    <row r="141" spans="1:2" x14ac:dyDescent="0.25">
      <c r="A141" s="1"/>
      <c r="B141" s="3"/>
    </row>
    <row r="142" spans="1:2" x14ac:dyDescent="0.25">
      <c r="A142" s="1"/>
      <c r="B142" s="3"/>
    </row>
    <row r="143" spans="1:2" x14ac:dyDescent="0.25">
      <c r="A143" s="1"/>
      <c r="B143" s="3"/>
    </row>
    <row r="144" spans="1:2" x14ac:dyDescent="0.25">
      <c r="A144" s="1"/>
      <c r="B144" s="3"/>
    </row>
    <row r="145" spans="1:2" x14ac:dyDescent="0.25">
      <c r="A145" s="1"/>
      <c r="B145" s="3"/>
    </row>
    <row r="146" spans="1:2" x14ac:dyDescent="0.25">
      <c r="A146" s="1"/>
      <c r="B146" s="3"/>
    </row>
    <row r="147" spans="1:2" x14ac:dyDescent="0.25">
      <c r="A147" s="1"/>
      <c r="B147" s="3"/>
    </row>
    <row r="148" spans="1:2" x14ac:dyDescent="0.25">
      <c r="A148" s="1"/>
      <c r="B148" s="3"/>
    </row>
    <row r="149" spans="1:2" x14ac:dyDescent="0.25">
      <c r="A149" s="1"/>
      <c r="B149" s="3"/>
    </row>
    <row r="150" spans="1:2" x14ac:dyDescent="0.25">
      <c r="A150" s="1"/>
      <c r="B150" s="3"/>
    </row>
    <row r="151" spans="1:2" x14ac:dyDescent="0.25">
      <c r="A151" s="1"/>
      <c r="B151" s="3"/>
    </row>
    <row r="152" spans="1:2" x14ac:dyDescent="0.25">
      <c r="A152" s="1"/>
      <c r="B152" s="3"/>
    </row>
    <row r="153" spans="1:2" x14ac:dyDescent="0.25">
      <c r="A153" s="1"/>
      <c r="B153" s="3"/>
    </row>
    <row r="154" spans="1:2" x14ac:dyDescent="0.25">
      <c r="A154" s="1"/>
      <c r="B154" s="3"/>
    </row>
    <row r="155" spans="1:2" x14ac:dyDescent="0.25">
      <c r="A155" s="1"/>
      <c r="B155" s="3"/>
    </row>
    <row r="156" spans="1:2" x14ac:dyDescent="0.25">
      <c r="A156" s="1"/>
      <c r="B156" s="3"/>
    </row>
    <row r="157" spans="1:2" x14ac:dyDescent="0.25">
      <c r="A157" s="1"/>
      <c r="B157" s="3"/>
    </row>
    <row r="158" spans="1:2" x14ac:dyDescent="0.25">
      <c r="A158" s="1"/>
      <c r="B158" s="3"/>
    </row>
    <row r="159" spans="1:2" x14ac:dyDescent="0.25">
      <c r="A159" s="1"/>
      <c r="B159" s="3"/>
    </row>
    <row r="160" spans="1:2" x14ac:dyDescent="0.25">
      <c r="A160" s="1"/>
      <c r="B160" s="3"/>
    </row>
    <row r="161" spans="1:2" x14ac:dyDescent="0.25">
      <c r="A161" s="1"/>
      <c r="B161" s="3"/>
    </row>
    <row r="162" spans="1:2" x14ac:dyDescent="0.25">
      <c r="A162" s="1"/>
      <c r="B162" s="3"/>
    </row>
    <row r="163" spans="1:2" x14ac:dyDescent="0.25">
      <c r="A163" s="1"/>
      <c r="B163" s="3"/>
    </row>
    <row r="164" spans="1:2" x14ac:dyDescent="0.25">
      <c r="A164" s="1"/>
      <c r="B164" s="3"/>
    </row>
    <row r="165" spans="1:2" x14ac:dyDescent="0.25">
      <c r="A165" s="1"/>
      <c r="B165" s="3"/>
    </row>
    <row r="166" spans="1:2" x14ac:dyDescent="0.25">
      <c r="A166" s="1"/>
      <c r="B166" s="3"/>
    </row>
    <row r="167" spans="1:2" x14ac:dyDescent="0.25">
      <c r="A167" s="1"/>
      <c r="B167" s="3"/>
    </row>
    <row r="168" spans="1:2" x14ac:dyDescent="0.25">
      <c r="A168" s="1"/>
      <c r="B168" s="3"/>
    </row>
    <row r="169" spans="1:2" x14ac:dyDescent="0.25">
      <c r="A169" s="1"/>
      <c r="B169" s="3"/>
    </row>
    <row r="170" spans="1:2" x14ac:dyDescent="0.25">
      <c r="A170" s="1"/>
      <c r="B170" s="3"/>
    </row>
    <row r="171" spans="1:2" x14ac:dyDescent="0.25">
      <c r="A171" s="1"/>
      <c r="B171" s="3"/>
    </row>
    <row r="172" spans="1:2" x14ac:dyDescent="0.25">
      <c r="A172" s="1"/>
      <c r="B172" s="3"/>
    </row>
    <row r="173" spans="1:2" x14ac:dyDescent="0.25">
      <c r="A173" s="1"/>
      <c r="B173" s="3"/>
    </row>
    <row r="174" spans="1:2" x14ac:dyDescent="0.25">
      <c r="A174" s="1"/>
      <c r="B174" s="3"/>
    </row>
    <row r="175" spans="1:2" x14ac:dyDescent="0.25">
      <c r="A175" s="1"/>
      <c r="B175" s="3"/>
    </row>
    <row r="176" spans="1:2" x14ac:dyDescent="0.25">
      <c r="A176" s="1"/>
      <c r="B176" s="3"/>
    </row>
    <row r="177" spans="1:2" x14ac:dyDescent="0.25">
      <c r="A177" s="1"/>
      <c r="B177" s="3"/>
    </row>
    <row r="178" spans="1:2" x14ac:dyDescent="0.25">
      <c r="A178" s="1"/>
      <c r="B178" s="3"/>
    </row>
    <row r="179" spans="1:2" x14ac:dyDescent="0.25">
      <c r="A179" s="1"/>
      <c r="B179" s="3"/>
    </row>
    <row r="180" spans="1:2" x14ac:dyDescent="0.25">
      <c r="A180" s="1"/>
      <c r="B180" s="3"/>
    </row>
    <row r="181" spans="1:2" x14ac:dyDescent="0.25">
      <c r="A181" s="1"/>
      <c r="B181" s="3"/>
    </row>
    <row r="182" spans="1:2" x14ac:dyDescent="0.25">
      <c r="A182" s="1"/>
      <c r="B182" s="3"/>
    </row>
    <row r="183" spans="1:2" x14ac:dyDescent="0.25">
      <c r="A183" s="1"/>
      <c r="B183" s="3"/>
    </row>
    <row r="184" spans="1:2" x14ac:dyDescent="0.25">
      <c r="A184" s="1"/>
      <c r="B184" s="3"/>
    </row>
    <row r="185" spans="1:2" x14ac:dyDescent="0.25">
      <c r="A185" s="1"/>
      <c r="B185" s="3"/>
    </row>
    <row r="186" spans="1:2" x14ac:dyDescent="0.25">
      <c r="A186" s="1"/>
      <c r="B186" s="3"/>
    </row>
    <row r="187" spans="1:2" x14ac:dyDescent="0.25">
      <c r="A187" s="1"/>
      <c r="B187" s="3"/>
    </row>
    <row r="188" spans="1:2" x14ac:dyDescent="0.25">
      <c r="A188" s="1"/>
      <c r="B188" s="3"/>
    </row>
    <row r="189" spans="1:2" x14ac:dyDescent="0.25">
      <c r="A189" s="1"/>
      <c r="B189" s="3"/>
    </row>
    <row r="190" spans="1:2" x14ac:dyDescent="0.25">
      <c r="A190" s="1"/>
      <c r="B190" s="3"/>
    </row>
    <row r="191" spans="1:2" x14ac:dyDescent="0.25">
      <c r="A191" s="1"/>
      <c r="B191" s="3"/>
    </row>
    <row r="192" spans="1:2" x14ac:dyDescent="0.25">
      <c r="A192" s="1"/>
      <c r="B192" s="3"/>
    </row>
    <row r="193" spans="1:2" x14ac:dyDescent="0.25">
      <c r="A193" s="1"/>
      <c r="B193" s="3"/>
    </row>
    <row r="194" spans="1:2" x14ac:dyDescent="0.25">
      <c r="A194" s="1"/>
      <c r="B194" s="3"/>
    </row>
    <row r="195" spans="1:2" x14ac:dyDescent="0.25">
      <c r="A195" s="1"/>
      <c r="B195" s="3"/>
    </row>
    <row r="196" spans="1:2" x14ac:dyDescent="0.25">
      <c r="A196" s="1"/>
      <c r="B196" s="3"/>
    </row>
    <row r="197" spans="1:2" x14ac:dyDescent="0.25">
      <c r="A197" s="1"/>
      <c r="B197" s="3"/>
    </row>
    <row r="198" spans="1:2" x14ac:dyDescent="0.25">
      <c r="A198" s="1"/>
      <c r="B198" s="3"/>
    </row>
    <row r="199" spans="1:2" x14ac:dyDescent="0.25">
      <c r="A199" s="1"/>
      <c r="B199" s="3"/>
    </row>
    <row r="200" spans="1:2" x14ac:dyDescent="0.25">
      <c r="A200" s="1"/>
      <c r="B200" s="3"/>
    </row>
    <row r="201" spans="1:2" x14ac:dyDescent="0.25">
      <c r="A201" s="1"/>
      <c r="B201" s="3"/>
    </row>
    <row r="202" spans="1:2" x14ac:dyDescent="0.25">
      <c r="A202" s="1"/>
      <c r="B202" s="3"/>
    </row>
    <row r="203" spans="1:2" x14ac:dyDescent="0.25">
      <c r="A203" s="1"/>
      <c r="B203" s="3"/>
    </row>
    <row r="204" spans="1:2" x14ac:dyDescent="0.25">
      <c r="A204" s="1"/>
      <c r="B204" s="3"/>
    </row>
    <row r="205" spans="1:2" x14ac:dyDescent="0.25">
      <c r="A205" s="1"/>
      <c r="B205" s="3"/>
    </row>
    <row r="206" spans="1:2" x14ac:dyDescent="0.25">
      <c r="A206" s="1"/>
      <c r="B206" s="3"/>
    </row>
    <row r="207" spans="1:2" x14ac:dyDescent="0.25">
      <c r="A207" s="1"/>
      <c r="B207" s="3"/>
    </row>
    <row r="208" spans="1:2" x14ac:dyDescent="0.25">
      <c r="A208" s="1"/>
      <c r="B208" s="3"/>
    </row>
    <row r="209" spans="1:2" x14ac:dyDescent="0.25">
      <c r="A209" s="1"/>
      <c r="B209" s="3"/>
    </row>
    <row r="210" spans="1:2" x14ac:dyDescent="0.25">
      <c r="A210" s="1"/>
      <c r="B210" s="3"/>
    </row>
    <row r="211" spans="1:2" x14ac:dyDescent="0.25">
      <c r="A211" s="1"/>
      <c r="B211" s="3"/>
    </row>
    <row r="212" spans="1:2" x14ac:dyDescent="0.25">
      <c r="A212" s="1"/>
      <c r="B212" s="3"/>
    </row>
    <row r="213" spans="1:2" x14ac:dyDescent="0.25">
      <c r="A213" s="1"/>
      <c r="B213" s="3"/>
    </row>
    <row r="214" spans="1:2" x14ac:dyDescent="0.25">
      <c r="A214" s="1"/>
      <c r="B214" s="3"/>
    </row>
    <row r="215" spans="1:2" x14ac:dyDescent="0.25">
      <c r="A215" s="1"/>
      <c r="B215" s="3"/>
    </row>
    <row r="216" spans="1:2" x14ac:dyDescent="0.25">
      <c r="A216" s="1"/>
      <c r="B216" s="3"/>
    </row>
    <row r="217" spans="1:2" x14ac:dyDescent="0.25">
      <c r="A217" s="1"/>
      <c r="B217" s="3"/>
    </row>
    <row r="218" spans="1:2" x14ac:dyDescent="0.25">
      <c r="A218" s="1"/>
      <c r="B218" s="3"/>
    </row>
    <row r="219" spans="1:2" x14ac:dyDescent="0.25">
      <c r="A219" s="1"/>
      <c r="B219" s="3"/>
    </row>
    <row r="220" spans="1:2" x14ac:dyDescent="0.25">
      <c r="A220" s="1"/>
      <c r="B220" s="3"/>
    </row>
    <row r="221" spans="1:2" x14ac:dyDescent="0.25">
      <c r="A221" s="1"/>
      <c r="B221" s="3"/>
    </row>
    <row r="222" spans="1:2" x14ac:dyDescent="0.25">
      <c r="A222" s="1"/>
      <c r="B222" s="3"/>
    </row>
    <row r="223" spans="1:2" x14ac:dyDescent="0.25">
      <c r="A223" s="1"/>
      <c r="B223" s="3"/>
    </row>
    <row r="224" spans="1:2" x14ac:dyDescent="0.25">
      <c r="A224" s="1"/>
      <c r="B224" s="3"/>
    </row>
    <row r="225" spans="1:2" x14ac:dyDescent="0.25">
      <c r="A225" s="1"/>
      <c r="B225" s="3"/>
    </row>
    <row r="226" spans="1:2" x14ac:dyDescent="0.25">
      <c r="A226" s="1"/>
      <c r="B226" s="3"/>
    </row>
    <row r="227" spans="1:2" x14ac:dyDescent="0.25">
      <c r="A227" s="1"/>
      <c r="B227" s="3"/>
    </row>
    <row r="228" spans="1:2" x14ac:dyDescent="0.25">
      <c r="A228" s="1"/>
      <c r="B228" s="3"/>
    </row>
    <row r="229" spans="1:2" x14ac:dyDescent="0.25">
      <c r="A229" s="1"/>
      <c r="B229" s="3"/>
    </row>
    <row r="230" spans="1:2" x14ac:dyDescent="0.25">
      <c r="A230" s="1"/>
      <c r="B230" s="3"/>
    </row>
    <row r="231" spans="1:2" x14ac:dyDescent="0.25">
      <c r="A231" s="1"/>
      <c r="B231" s="3"/>
    </row>
    <row r="232" spans="1:2" x14ac:dyDescent="0.25">
      <c r="A232" s="1"/>
      <c r="B232" s="3"/>
    </row>
    <row r="233" spans="1:2" x14ac:dyDescent="0.25">
      <c r="A233" s="1"/>
      <c r="B233" s="3"/>
    </row>
    <row r="234" spans="1:2" x14ac:dyDescent="0.25">
      <c r="A234" s="1"/>
      <c r="B234" s="3"/>
    </row>
    <row r="235" spans="1:2" x14ac:dyDescent="0.25">
      <c r="A235" s="1"/>
      <c r="B235" s="3"/>
    </row>
    <row r="236" spans="1:2" x14ac:dyDescent="0.25">
      <c r="A236" s="1"/>
      <c r="B236" s="3"/>
    </row>
    <row r="237" spans="1:2" x14ac:dyDescent="0.25">
      <c r="A237" s="1"/>
      <c r="B237" s="3"/>
    </row>
    <row r="238" spans="1:2" x14ac:dyDescent="0.25">
      <c r="A238" s="1"/>
      <c r="B238" s="3"/>
    </row>
    <row r="239" spans="1:2" x14ac:dyDescent="0.25">
      <c r="A239" s="1"/>
      <c r="B239" s="3"/>
    </row>
    <row r="240" spans="1:2" x14ac:dyDescent="0.25">
      <c r="A240" s="1"/>
      <c r="B240" s="3"/>
    </row>
    <row r="241" spans="1:2" x14ac:dyDescent="0.25">
      <c r="A241" s="1"/>
      <c r="B241" s="3"/>
    </row>
    <row r="242" spans="1:2" x14ac:dyDescent="0.25">
      <c r="A242" s="1"/>
      <c r="B242" s="3"/>
    </row>
    <row r="243" spans="1:2" x14ac:dyDescent="0.25">
      <c r="A243" s="1"/>
      <c r="B243" s="3"/>
    </row>
    <row r="244" spans="1:2" x14ac:dyDescent="0.25">
      <c r="A244" s="1"/>
      <c r="B244" s="3"/>
    </row>
    <row r="245" spans="1:2" x14ac:dyDescent="0.25">
      <c r="A245" s="1"/>
      <c r="B245" s="3"/>
    </row>
    <row r="246" spans="1:2" x14ac:dyDescent="0.25">
      <c r="A246" s="1"/>
      <c r="B246" s="3"/>
    </row>
    <row r="247" spans="1:2" x14ac:dyDescent="0.25">
      <c r="A247" s="1"/>
      <c r="B247" s="3"/>
    </row>
    <row r="248" spans="1:2" x14ac:dyDescent="0.25">
      <c r="A248" s="1"/>
      <c r="B248" s="3"/>
    </row>
    <row r="249" spans="1:2" x14ac:dyDescent="0.25">
      <c r="A249" s="1"/>
      <c r="B249" s="3"/>
    </row>
    <row r="250" spans="1:2" x14ac:dyDescent="0.25">
      <c r="A250" s="1"/>
      <c r="B250" s="3"/>
    </row>
    <row r="251" spans="1:2" x14ac:dyDescent="0.25">
      <c r="A251" s="1"/>
      <c r="B251" s="3"/>
    </row>
    <row r="252" spans="1:2" x14ac:dyDescent="0.25">
      <c r="A252" s="1"/>
      <c r="B252" s="3"/>
    </row>
    <row r="253" spans="1:2" x14ac:dyDescent="0.25">
      <c r="A253" s="1"/>
      <c r="B253" s="3"/>
    </row>
    <row r="254" spans="1:2" x14ac:dyDescent="0.25">
      <c r="A254" s="1"/>
      <c r="B254" s="3"/>
    </row>
    <row r="255" spans="1:2" x14ac:dyDescent="0.25">
      <c r="A255" s="1"/>
      <c r="B255" s="3"/>
    </row>
    <row r="256" spans="1:2" x14ac:dyDescent="0.25">
      <c r="A256" s="1"/>
      <c r="B256" s="3"/>
    </row>
    <row r="257" spans="1:2" x14ac:dyDescent="0.25">
      <c r="A257" s="1"/>
      <c r="B257" s="3"/>
    </row>
    <row r="258" spans="1:2" x14ac:dyDescent="0.25">
      <c r="A258" s="1"/>
      <c r="B258" s="3"/>
    </row>
    <row r="259" spans="1:2" x14ac:dyDescent="0.25">
      <c r="A259" s="1"/>
      <c r="B259" s="3"/>
    </row>
    <row r="260" spans="1:2" x14ac:dyDescent="0.25">
      <c r="A260" s="1"/>
      <c r="B260" s="3"/>
    </row>
    <row r="261" spans="1:2" x14ac:dyDescent="0.25">
      <c r="A261" s="1"/>
      <c r="B261" s="3"/>
    </row>
    <row r="262" spans="1:2" x14ac:dyDescent="0.25">
      <c r="A262" s="1"/>
      <c r="B262" s="3"/>
    </row>
    <row r="263" spans="1:2" x14ac:dyDescent="0.25">
      <c r="A263" s="1"/>
      <c r="B263" s="3"/>
    </row>
  </sheetData>
  <mergeCells count="1">
    <mergeCell ref="FA22:FB22"/>
  </mergeCells>
  <pageMargins left="0.7" right="0.7" top="0.75" bottom="0.75" header="0.3" footer="0.3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CCRC M</vt:lpstr>
      <vt:lpstr>CCRC F</vt:lpstr>
      <vt:lpstr>Proj</vt:lpstr>
      <vt:lpstr>Proj!Print_Area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Cumming</dc:creator>
  <cp:lastModifiedBy>Jack Cumming</cp:lastModifiedBy>
  <cp:lastPrinted>2011-12-27T19:33:23Z</cp:lastPrinted>
  <dcterms:created xsi:type="dcterms:W3CDTF">2011-08-28T16:55:08Z</dcterms:created>
  <dcterms:modified xsi:type="dcterms:W3CDTF">2012-02-22T03:54:56Z</dcterms:modified>
</cp:coreProperties>
</file>